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24226"/>
  <bookViews>
    <workbookView xWindow="65416" yWindow="65416" windowWidth="29040" windowHeight="15840" activeTab="0"/>
  </bookViews>
  <sheets>
    <sheet name="Krycí list rozpočtu" sheetId="4" r:id="rId1"/>
    <sheet name="Položkový rozpočet - součet" sheetId="2" r:id="rId2"/>
    <sheet name="Položkový rozpočet" sheetId="1" r:id="rId3"/>
  </sheets>
  <definedNames/>
  <calcPr calcId="181029"/>
</workbook>
</file>

<file path=xl/sharedStrings.xml><?xml version="1.0" encoding="utf-8"?>
<sst xmlns="http://schemas.openxmlformats.org/spreadsheetml/2006/main" count="917" uniqueCount="341">
  <si>
    <t>Název stavby:</t>
  </si>
  <si>
    <t>Druh stavby:</t>
  </si>
  <si>
    <t>Lokalita:</t>
  </si>
  <si>
    <t>JKSO:</t>
  </si>
  <si>
    <t>Č</t>
  </si>
  <si>
    <t xml:space="preserve"> </t>
  </si>
  <si>
    <t>1</t>
  </si>
  <si>
    <t>5</t>
  </si>
  <si>
    <t>7</t>
  </si>
  <si>
    <t>61</t>
  </si>
  <si>
    <t>64</t>
  </si>
  <si>
    <t>95</t>
  </si>
  <si>
    <t>96</t>
  </si>
  <si>
    <t>764</t>
  </si>
  <si>
    <t>766</t>
  </si>
  <si>
    <t>767</t>
  </si>
  <si>
    <t>781</t>
  </si>
  <si>
    <t>784</t>
  </si>
  <si>
    <t>838</t>
  </si>
  <si>
    <t>839</t>
  </si>
  <si>
    <t>842</t>
  </si>
  <si>
    <t>845</t>
  </si>
  <si>
    <t>846</t>
  </si>
  <si>
    <t>849</t>
  </si>
  <si>
    <t>879</t>
  </si>
  <si>
    <t>883</t>
  </si>
  <si>
    <t>893</t>
  </si>
  <si>
    <t>894</t>
  </si>
  <si>
    <t>903</t>
  </si>
  <si>
    <t>933</t>
  </si>
  <si>
    <t>937</t>
  </si>
  <si>
    <t>938</t>
  </si>
  <si>
    <t>939</t>
  </si>
  <si>
    <t>945</t>
  </si>
  <si>
    <t>967</t>
  </si>
  <si>
    <t>969</t>
  </si>
  <si>
    <t>970</t>
  </si>
  <si>
    <t>971</t>
  </si>
  <si>
    <t>972</t>
  </si>
  <si>
    <t>973</t>
  </si>
  <si>
    <t>974</t>
  </si>
  <si>
    <t>977</t>
  </si>
  <si>
    <t>984</t>
  </si>
  <si>
    <t>985</t>
  </si>
  <si>
    <t>987</t>
  </si>
  <si>
    <t>1382</t>
  </si>
  <si>
    <t>1383</t>
  </si>
  <si>
    <t>1384</t>
  </si>
  <si>
    <t>1393</t>
  </si>
  <si>
    <t>1410</t>
  </si>
  <si>
    <t>1411</t>
  </si>
  <si>
    <t>1412</t>
  </si>
  <si>
    <t>1413</t>
  </si>
  <si>
    <t>1414</t>
  </si>
  <si>
    <t>1415</t>
  </si>
  <si>
    <t>1417</t>
  </si>
  <si>
    <t>1418</t>
  </si>
  <si>
    <t>1443</t>
  </si>
  <si>
    <t>1456</t>
  </si>
  <si>
    <t>1486</t>
  </si>
  <si>
    <t>1495</t>
  </si>
  <si>
    <t>1503</t>
  </si>
  <si>
    <t>1504</t>
  </si>
  <si>
    <t>1506</t>
  </si>
  <si>
    <t>1508</t>
  </si>
  <si>
    <t>1510</t>
  </si>
  <si>
    <t>1512</t>
  </si>
  <si>
    <t>1927</t>
  </si>
  <si>
    <t>1928</t>
  </si>
  <si>
    <t>1929</t>
  </si>
  <si>
    <t>1931</t>
  </si>
  <si>
    <t>1932</t>
  </si>
  <si>
    <t>1933</t>
  </si>
  <si>
    <t>1935</t>
  </si>
  <si>
    <t>1936</t>
  </si>
  <si>
    <t>Poznámka:</t>
  </si>
  <si>
    <t>Objekt</t>
  </si>
  <si>
    <t>SO02</t>
  </si>
  <si>
    <t>VRN</t>
  </si>
  <si>
    <t>Kód</t>
  </si>
  <si>
    <t>610991004R00</t>
  </si>
  <si>
    <t>610991111R00</t>
  </si>
  <si>
    <t>612409991RT2</t>
  </si>
  <si>
    <t>612425931RT2</t>
  </si>
  <si>
    <t>612451090RT1</t>
  </si>
  <si>
    <t>641960000R00</t>
  </si>
  <si>
    <t>648991113RU2</t>
  </si>
  <si>
    <t>952901110R00</t>
  </si>
  <si>
    <t>952901111R00</t>
  </si>
  <si>
    <t>998764102R00</t>
  </si>
  <si>
    <t>766601211RT3</t>
  </si>
  <si>
    <t>766601229RT3</t>
  </si>
  <si>
    <t>998766102R00</t>
  </si>
  <si>
    <t>998767102R00</t>
  </si>
  <si>
    <t>781320121RT1</t>
  </si>
  <si>
    <t>998781102R00</t>
  </si>
  <si>
    <t>784011111R00</t>
  </si>
  <si>
    <t>784011121R00</t>
  </si>
  <si>
    <t>784011222RT2</t>
  </si>
  <si>
    <t>784111201R00</t>
  </si>
  <si>
    <t>784165612R00</t>
  </si>
  <si>
    <t>784411301R00</t>
  </si>
  <si>
    <t>612421931RT2</t>
  </si>
  <si>
    <t>953953611RT1</t>
  </si>
  <si>
    <t>967031732R00</t>
  </si>
  <si>
    <t>967031733R00</t>
  </si>
  <si>
    <t>967031734R00</t>
  </si>
  <si>
    <t>968061112R00</t>
  </si>
  <si>
    <t>968062354R00</t>
  </si>
  <si>
    <t>968062355R00</t>
  </si>
  <si>
    <t>968062356R00</t>
  </si>
  <si>
    <t>968095001R00</t>
  </si>
  <si>
    <t>S</t>
  </si>
  <si>
    <t>979011111R00</t>
  </si>
  <si>
    <t>979081111R00</t>
  </si>
  <si>
    <t>979081121R00</t>
  </si>
  <si>
    <t>979082111R00</t>
  </si>
  <si>
    <t>979082121R00</t>
  </si>
  <si>
    <t>979086112R00</t>
  </si>
  <si>
    <t>979093111R00</t>
  </si>
  <si>
    <t>979990107R00</t>
  </si>
  <si>
    <t>979990161R00</t>
  </si>
  <si>
    <t>979990162R00</t>
  </si>
  <si>
    <t>H99</t>
  </si>
  <si>
    <t>999281108R00</t>
  </si>
  <si>
    <t>764410450RT4</t>
  </si>
  <si>
    <t>764410460RT4</t>
  </si>
  <si>
    <t>764410850R00</t>
  </si>
  <si>
    <t>766623122RT1</t>
  </si>
  <si>
    <t>61110363</t>
  </si>
  <si>
    <t>766623123RT1</t>
  </si>
  <si>
    <t>61110370</t>
  </si>
  <si>
    <t>766623144RT1</t>
  </si>
  <si>
    <t>61110377</t>
  </si>
  <si>
    <t>005121010R</t>
  </si>
  <si>
    <t>005231010R</t>
  </si>
  <si>
    <t>005122010R</t>
  </si>
  <si>
    <t>005112041R</t>
  </si>
  <si>
    <t>005124010R</t>
  </si>
  <si>
    <t>005241010R</t>
  </si>
  <si>
    <t>005261010R</t>
  </si>
  <si>
    <t>005261040R</t>
  </si>
  <si>
    <t>Přístavba a stavební úpravy Domu humanity č.p.931</t>
  </si>
  <si>
    <t>st.p.č. 3006, 3007, k.ú.Česká Lípa, ul.Dubická č.p.931, Česká Lípa</t>
  </si>
  <si>
    <t>801 21 1 1</t>
  </si>
  <si>
    <t>Zkrácený popis / Varianta</t>
  </si>
  <si>
    <t>Rozměry</t>
  </si>
  <si>
    <t>Úprava povrchů vnitřní</t>
  </si>
  <si>
    <t>Začišťovací okenní lišta pro vnitř.omítku tl. 15mm</t>
  </si>
  <si>
    <t>Zakrývání výplní vnitřních otvorů</t>
  </si>
  <si>
    <t>Začištění omítek kolem oken,dveří apod.s použitím suché maltové směsi</t>
  </si>
  <si>
    <t>Omítka stěrková vnitřního ostění - štuková</t>
  </si>
  <si>
    <t>Výplně otvorů</t>
  </si>
  <si>
    <t>Těsnění spár otvorových prvků PU pěnou</t>
  </si>
  <si>
    <t>Různé dokončovací konstrukce a práce na pozemních stavbách</t>
  </si>
  <si>
    <t>Čištění mytím vnějších ploch oken a dveří</t>
  </si>
  <si>
    <t>Vyčištění budov o výšce podlaží do 4 m</t>
  </si>
  <si>
    <t>Konstrukce klempířské</t>
  </si>
  <si>
    <t>Přesun hmot pro klempířské konstr., výšky do 12 m</t>
  </si>
  <si>
    <t>Konstrukce truhlářské</t>
  </si>
  <si>
    <t>Těsnění okenní spáry, ostění, PT fólie+ PP páska, folie š.100 mm, páska tl. 6 mm, š. 20 mm</t>
  </si>
  <si>
    <t>Těsnění oken.spáry,parapet,PT folie+PP folie+páska, PT folie š.100 mm; PP folie š.100 mm+páska tl.6 mm</t>
  </si>
  <si>
    <t>Přesun hmot pro truhlářské konstr., výšky do 12 m</t>
  </si>
  <si>
    <t>Konstrukce doplňkové stavební (zámečnické)</t>
  </si>
  <si>
    <t>Přesun hmot pro zámečnické konstr., výšky do 12 m</t>
  </si>
  <si>
    <t>Obklady (keramické)</t>
  </si>
  <si>
    <t>Přesun hmot pro obklady keramické, výšky do 12 m</t>
  </si>
  <si>
    <t>Malby</t>
  </si>
  <si>
    <t>Oprášení/ometení podkladu-stěny,ostění, schodiště, SDK</t>
  </si>
  <si>
    <t>Broušení štuků a nových omítek-stěny,ostění, schodiště</t>
  </si>
  <si>
    <t>Zakrytí podlah včetně papírové lepenky</t>
  </si>
  <si>
    <t>Penetrace podkladu nátěrem s vysokou kryvostí-stěny,ostění, schodiště, SDK</t>
  </si>
  <si>
    <t>Malba otěruvzdorná, prodyšná, bílá, 2x-stěny,ostění, schodiště, SDK</t>
  </si>
  <si>
    <t>Pačokování 1x vápenné mléko-stěny,ostění, schodiště</t>
  </si>
  <si>
    <t>Stavební úpravy stávajícího objektu</t>
  </si>
  <si>
    <t>Oprava vápen.omítek ostění do 50 % pl. - štukových, s použitím suché maltové směsi</t>
  </si>
  <si>
    <t>Zednické zapravení parapetu -viz detail Det1, 2</t>
  </si>
  <si>
    <t>Osazení parapet.desek plast. a lamin. š.nad 20cm, včetně dodávky laminát.desky š. 250 mm -ozn.OS01</t>
  </si>
  <si>
    <t>Ochrana stáv.konstrukcí před poškozením (dřevotříska+geotextilie) -montáž a demontáž</t>
  </si>
  <si>
    <t>Bourání konstrukcí</t>
  </si>
  <si>
    <t>Přisekání plošné zdiva cihelného na MVC tl. 10 cm</t>
  </si>
  <si>
    <t>Přisekání plošné zdiva cihelného na MVC tl. 15 cm</t>
  </si>
  <si>
    <t>Přisekání plošné zdiva cihelného na MVC do tl. 30 cm</t>
  </si>
  <si>
    <t>Vyvěšení dřevěných okenních křídel pl. do 1,5 m2 -dle pozn.10</t>
  </si>
  <si>
    <t>Vybourání dřevěných rámů oken dvojitých pl. 1 m2 -dle pozn.10</t>
  </si>
  <si>
    <t>Vybourání dřevěných rámů oken dvojitých pl. 2 m2 -dle pozn.10</t>
  </si>
  <si>
    <t>Vybourání dřevěných rámů oken dvojitých pl. 4 m2 -dle pozn.10</t>
  </si>
  <si>
    <t>Bourání parapetů dřevěných š. do 25 cm -dle pozn.9</t>
  </si>
  <si>
    <t>Přesuny sutí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</si>
  <si>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</si>
  <si>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</si>
  <si>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</si>
  <si>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</si>
  <si>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</si>
  <si>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nebo překládání suti a vybouraných hmot</t>
  </si>
  <si>
    <t>Uložení suti na skládku bez zhutnění</t>
  </si>
  <si>
    <t>Poplatek za skládku suti - směsný stavební odpad -omítky, smíš.zdivo+kámen, násypy, kamenivo apod.</t>
  </si>
  <si>
    <t>Poplatek za skládku suti - dřevo</t>
  </si>
  <si>
    <t>Poplatek za skládku suti - dřevo+sklo</t>
  </si>
  <si>
    <t>Ostatní přesuny hmot</t>
  </si>
  <si>
    <t>Přesun hmot pro opravy a údržbu do výšky 12 m</t>
  </si>
  <si>
    <t>Oplechování parapetů z Al extr.plechu tl. 1,6-2,6 mm, rš 370 mm, vč.bočních lišt -provedení dle popisu v PD, ozn.K01</t>
  </si>
  <si>
    <t>Oplechování parapetů z Al extr.plechu tl. 1,6-2,6 mm, rš 400 mm, vč.bočních lišt -provedení dle popisu v PD, ozn.K01</t>
  </si>
  <si>
    <t>Demontáž oplechování parapetů,rš od 100 do 330 mm -dle pozn.8</t>
  </si>
  <si>
    <t>Okna komplet.otvíravá,s rámem 1kříd.do 0,81 m2</t>
  </si>
  <si>
    <t>Okno dřevěné S 1kř. 600x1200mm ozn.F04 -provedení dle popisu v PD</t>
  </si>
  <si>
    <t>Okna komplet.otvíravá,s rámem 1kříd.nad 0,81 m2</t>
  </si>
  <si>
    <t>Okno dřevěné OS 1kř. 1000x1450 mm ozn.F01 -provedení dle popisu v PD</t>
  </si>
  <si>
    <t>Okna komplet.otvíravá,s rámem 4kříd.do 2,50 m2</t>
  </si>
  <si>
    <t>Okno dřevěné OS 4kř. 1200x1750 mm ozn.F06 -provedení dle popisu v PD</t>
  </si>
  <si>
    <t>Obkládání parapetů do tmele šířky do 300 mm, vč.dodávky obkladu -předstěny</t>
  </si>
  <si>
    <t>Vedlejší rozpočtové náklady</t>
  </si>
  <si>
    <t>Ostatní položky práce</t>
  </si>
  <si>
    <t>Zařízení staveniště</t>
  </si>
  <si>
    <t>Revize a zkoušky</t>
  </si>
  <si>
    <t>Provozní a územní vlivy</t>
  </si>
  <si>
    <t>Kompletační činnost</t>
  </si>
  <si>
    <t>Koordinační činnost</t>
  </si>
  <si>
    <t>Dokumentace skut.provedení stavby</t>
  </si>
  <si>
    <t>Pojištění stavby</t>
  </si>
  <si>
    <t>Doba výstavby:</t>
  </si>
  <si>
    <t>Začátek výstavby:</t>
  </si>
  <si>
    <t>Konec výstavby:</t>
  </si>
  <si>
    <t>Zpracováno dne:</t>
  </si>
  <si>
    <t>MJ</t>
  </si>
  <si>
    <t>t</t>
  </si>
  <si>
    <t>m2</t>
  </si>
  <si>
    <t>kus</t>
  </si>
  <si>
    <t>m</t>
  </si>
  <si>
    <t>kg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</si>
  <si>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</si>
  <si>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</si>
  <si>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</si>
  <si>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</si>
  <si>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</si>
  <si>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</si>
  <si>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</si>
  <si>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</si>
  <si>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</si>
  <si>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</si>
  <si>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</si>
  <si>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</si>
  <si>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</si>
  <si>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</si>
  <si>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</si>
  <si>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</si>
  <si>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</si>
  <si>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</si>
  <si>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</si>
  <si>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</si>
  <si>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</si>
  <si>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</si>
  <si>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</si>
  <si>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</si>
  <si>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</si>
  <si>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</si>
  <si>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</si>
  <si>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</si>
  <si>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64_</t>
  </si>
  <si>
    <t>95_</t>
  </si>
  <si>
    <t>764_</t>
  </si>
  <si>
    <t>766_</t>
  </si>
  <si>
    <t>767_</t>
  </si>
  <si>
    <t>781_</t>
  </si>
  <si>
    <t>784_</t>
  </si>
  <si>
    <t>96_</t>
  </si>
  <si>
    <t>S_</t>
  </si>
  <si>
    <t>H99_</t>
  </si>
  <si>
    <t>Z88888_</t>
  </si>
  <si>
    <t>SO02_6_</t>
  </si>
  <si>
    <t>SO02_9_</t>
  </si>
  <si>
    <t>SO02_76_</t>
  </si>
  <si>
    <t>SO02_78_</t>
  </si>
  <si>
    <t>VRN_Z_</t>
  </si>
  <si>
    <t>SO02_</t>
  </si>
  <si>
    <t>VRN_</t>
  </si>
  <si>
    <t>MAT</t>
  </si>
  <si>
    <t>WORK</t>
  </si>
  <si>
    <t>CELK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</si>
  <si>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</si>
  <si>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</si>
  <si>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</si>
  <si>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</si>
  <si>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</si>
  <si>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</si>
  <si>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</si>
  <si>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</si>
  <si>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</si>
  <si>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</si>
  <si>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</si>
  <si>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</si>
  <si>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</si>
  <si>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</si>
  <si>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</si>
  <si>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</si>
  <si>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</si>
  <si>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</si>
  <si>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</si>
  <si>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</si>
  <si>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</si>
  <si>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</si>
  <si>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</si>
  <si>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</si>
  <si>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</si>
  <si>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</si>
  <si>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</si>
  <si>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</si>
  <si>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</si>
  <si>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</si>
  <si>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</si>
  <si>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</si>
  <si>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</si>
  <si>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</si>
  <si>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</si>
  <si>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</si>
  <si>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</si>
  <si>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</si>
  <si>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</si>
  <si>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</si>
  <si>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</si>
  <si>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</si>
  <si>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</si>
  <si>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</si>
  <si>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</si>
  <si>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</si>
  <si>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</si>
  <si>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</si>
  <si>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</si>
  <si>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</si>
  <si>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767662120</t>
  </si>
  <si>
    <t>Montáž mříží pevných šroubovaných</t>
  </si>
  <si>
    <t>767996801</t>
  </si>
  <si>
    <t>Demontáž ostatních zámečniských konstrukcí o hmotnosti jednotlivých dílů do 50 kg</t>
  </si>
  <si>
    <t>Fotodokumentace provádění díla</t>
  </si>
  <si>
    <t>930</t>
  </si>
  <si>
    <t>931</t>
  </si>
  <si>
    <t>932</t>
  </si>
  <si>
    <t>1455</t>
  </si>
  <si>
    <t>1454</t>
  </si>
  <si>
    <t>Položkový rozpočet - rekapitulace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</si>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</sst>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10" fillId="3" borderId="18" xfId="0" applyNumberFormat="1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>
      <alignment horizontal="left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49" fontId="12" fillId="0" borderId="18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1" fillId="3" borderId="27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49" fontId="14" fillId="4" borderId="0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left" vertical="center"/>
      <protection/>
    </xf>
    <xf numFmtId="4" fontId="15" fillId="4" borderId="0" xfId="0" applyNumberFormat="1" applyFont="1" applyFill="1" applyBorder="1" applyAlignment="1" applyProtection="1">
      <alignment horizontal="right" vertical="center"/>
      <protection/>
    </xf>
    <xf numFmtId="49" fontId="15" fillId="4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5" fillId="5" borderId="0" xfId="0" applyNumberFormat="1" applyFont="1" applyFill="1" applyBorder="1" applyAlignment="1" applyProtection="1">
      <alignment horizontal="left" vertical="center"/>
      <protection/>
    </xf>
    <xf numFmtId="49" fontId="8" fillId="5" borderId="0" xfId="0" applyNumberFormat="1" applyFont="1" applyFill="1" applyBorder="1" applyAlignment="1" applyProtection="1">
      <alignment horizontal="left" vertical="center"/>
      <protection/>
    </xf>
    <xf numFmtId="49" fontId="5" fillId="6" borderId="0" xfId="0" applyNumberFormat="1" applyFont="1" applyFill="1" applyBorder="1" applyAlignment="1" applyProtection="1">
      <alignment horizontal="left" vertical="center"/>
      <protection/>
    </xf>
    <xf numFmtId="4" fontId="5" fillId="6" borderId="0" xfId="0" applyNumberFormat="1" applyFont="1" applyFill="1" applyBorder="1" applyAlignment="1" applyProtection="1">
      <alignment horizontal="right" vertical="center"/>
      <protection/>
    </xf>
    <xf numFmtId="49" fontId="5" fillId="6" borderId="0" xfId="0" applyNumberFormat="1" applyFont="1" applyFill="1" applyBorder="1" applyAlignment="1" applyProtection="1">
      <alignment horizontal="right" vertical="center"/>
      <protection/>
    </xf>
    <xf numFmtId="49" fontId="4" fillId="5" borderId="0" xfId="0" applyNumberFormat="1" applyFont="1" applyFill="1" applyBorder="1" applyAlignment="1" applyProtection="1">
      <alignment horizontal="left" vertical="center"/>
      <protection/>
    </xf>
    <xf numFmtId="4" fontId="8" fillId="5" borderId="0" xfId="0" applyNumberFormat="1" applyFont="1" applyFill="1" applyBorder="1" applyAlignment="1" applyProtection="1">
      <alignment horizontal="right" vertical="center"/>
      <protection/>
    </xf>
    <xf numFmtId="49" fontId="8" fillId="5" borderId="0" xfId="0" applyNumberFormat="1" applyFont="1" applyFill="1" applyBorder="1" applyAlignment="1" applyProtection="1">
      <alignment horizontal="right" vertical="center"/>
      <protection/>
    </xf>
    <xf numFmtId="49" fontId="4" fillId="7" borderId="0" xfId="0" applyNumberFormat="1" applyFont="1" applyFill="1" applyBorder="1" applyAlignment="1" applyProtection="1">
      <alignment horizontal="left" vertical="center"/>
      <protection/>
    </xf>
    <xf numFmtId="4" fontId="4" fillId="7" borderId="0" xfId="0" applyNumberFormat="1" applyFont="1" applyFill="1" applyBorder="1" applyAlignment="1" applyProtection="1">
      <alignment horizontal="right" vertical="center"/>
      <protection/>
    </xf>
    <xf numFmtId="49" fontId="4" fillId="7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0" fillId="6" borderId="0" xfId="0" applyNumberFormat="1" applyFont="1" applyFill="1" applyBorder="1" applyAlignment="1" applyProtection="1">
      <alignment horizontal="left" vertical="center"/>
      <protection/>
    </xf>
    <xf numFmtId="4" fontId="0" fillId="6" borderId="0" xfId="0" applyNumberFormat="1" applyFont="1" applyFill="1" applyBorder="1" applyAlignment="1" applyProtection="1">
      <alignment horizontal="right" vertical="center"/>
      <protection/>
    </xf>
    <xf numFmtId="49" fontId="0" fillId="6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9" fontId="17" fillId="2" borderId="0" xfId="0" applyNumberFormat="1" applyFont="1" applyFill="1" applyBorder="1" applyAlignment="1" applyProtection="1">
      <alignment horizontal="right" vertical="center"/>
      <protection/>
    </xf>
    <xf numFmtId="4" fontId="17" fillId="2" borderId="0" xfId="0" applyNumberFormat="1" applyFont="1" applyFill="1" applyBorder="1" applyAlignment="1" applyProtection="1">
      <alignment horizontal="right" vertical="center"/>
      <protection/>
    </xf>
    <xf numFmtId="49" fontId="5" fillId="6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Alignment="1">
      <alignment horizontal="right" vertical="center"/>
    </xf>
    <xf numFmtId="164" fontId="5" fillId="0" borderId="3" xfId="0" applyNumberFormat="1" applyFont="1" applyFill="1" applyBorder="1" applyAlignment="1" applyProtection="1">
      <alignment horizontal="right" vertical="center"/>
      <protection/>
    </xf>
    <xf numFmtId="49" fontId="16" fillId="0" borderId="28" xfId="0" applyNumberFormat="1" applyFont="1" applyFill="1" applyBorder="1" applyAlignment="1" applyProtection="1">
      <alignment horizontal="left" vertical="center"/>
      <protection/>
    </xf>
    <xf numFmtId="49" fontId="16" fillId="0" borderId="29" xfId="0" applyNumberFormat="1" applyFont="1" applyBorder="1" applyAlignment="1">
      <alignment horizontal="left" vertical="center"/>
    </xf>
    <xf numFmtId="4" fontId="16" fillId="0" borderId="29" xfId="0" applyNumberFormat="1" applyFont="1" applyFill="1" applyBorder="1" applyAlignment="1" applyProtection="1">
      <alignment horizontal="right" vertical="center"/>
      <protection/>
    </xf>
    <xf numFmtId="4" fontId="16" fillId="0" borderId="30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4" fontId="16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4" fontId="16" fillId="0" borderId="31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" fontId="5" fillId="8" borderId="0" xfId="0" applyNumberFormat="1" applyFont="1" applyFill="1" applyBorder="1" applyAlignment="1" applyProtection="1">
      <alignment horizontal="right" vertical="center"/>
      <protection locked="0"/>
    </xf>
    <xf numFmtId="4" fontId="5" fillId="8" borderId="0" xfId="0" applyNumberFormat="1" applyFont="1" applyFill="1" applyAlignment="1" applyProtection="1">
      <alignment horizontal="right" vertical="center"/>
      <protection locked="0"/>
    </xf>
    <xf numFmtId="4" fontId="5" fillId="8" borderId="3" xfId="0" applyNumberFormat="1" applyFont="1" applyFill="1" applyBorder="1" applyAlignment="1" applyProtection="1">
      <alignment horizontal="right" vertical="center"/>
      <protection locked="0"/>
    </xf>
    <xf numFmtId="4" fontId="0" fillId="8" borderId="0" xfId="0" applyNumberFormat="1" applyFont="1" applyFill="1" applyBorder="1" applyAlignment="1" applyProtection="1">
      <alignment horizontal="right" vertical="center"/>
      <protection locked="0"/>
    </xf>
    <xf numFmtId="4" fontId="6" fillId="8" borderId="0" xfId="0" applyNumberFormat="1" applyFont="1" applyFill="1" applyBorder="1" applyAlignment="1" applyProtection="1">
      <alignment horizontal="right" vertical="center"/>
      <protection locked="0"/>
    </xf>
    <xf numFmtId="4" fontId="5" fillId="8" borderId="0" xfId="0" applyNumberFormat="1" applyFont="1" applyFill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49" fontId="16" fillId="0" borderId="29" xfId="0" applyNumberFormat="1" applyFont="1" applyFill="1" applyBorder="1" applyAlignment="1" applyProtection="1">
      <alignment horizontal="left" vertical="center"/>
      <protection/>
    </xf>
    <xf numFmtId="49" fontId="16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11" fillId="3" borderId="40" xfId="0" applyNumberFormat="1" applyFont="1" applyFill="1" applyBorder="1" applyAlignment="1" applyProtection="1">
      <alignment horizontal="left" vertical="center"/>
      <protection/>
    </xf>
    <xf numFmtId="0" fontId="11" fillId="3" borderId="41" xfId="0" applyNumberFormat="1" applyFont="1" applyFill="1" applyBorder="1" applyAlignment="1" applyProtection="1">
      <alignment horizontal="left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0" fontId="1" fillId="0" borderId="26" xfId="0" applyNumberFormat="1" applyFont="1" applyFill="1" applyBorder="1" applyAlignment="1" applyProtection="1">
      <alignment horizontal="left" vertical="center"/>
      <protection locked="0"/>
    </xf>
    <xf numFmtId="49" fontId="1" fillId="0" borderId="26" xfId="0" applyNumberFormat="1" applyFont="1" applyFill="1" applyBorder="1" applyAlignment="1" applyProtection="1">
      <alignment horizontal="left" vertical="center"/>
      <protection locked="0"/>
    </xf>
    <xf numFmtId="0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0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36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 topLeftCell="A16">
      <selection activeCell="P14" sqref="P1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3"/>
      <c r="B1" s="37"/>
      <c r="C1" s="166" t="s">
        <v>301</v>
      </c>
      <c r="D1" s="167"/>
      <c r="E1" s="167"/>
      <c r="F1" s="167"/>
      <c r="G1" s="167"/>
      <c r="H1" s="167"/>
      <c r="I1" s="167"/>
    </row>
    <row r="2" spans="1:10" ht="12.75">
      <c r="A2" s="168" t="s">
        <v>0</v>
      </c>
      <c r="B2" s="169"/>
      <c r="C2" s="170" t="str">
        <f>'Položkový rozpočet'!D2</f>
        <v>Přístavba a stavební úpravy Domu humanity č.p.931</v>
      </c>
      <c r="D2" s="171"/>
      <c r="E2" s="173" t="s">
        <v>233</v>
      </c>
      <c r="F2" s="189" t="str">
        <f>'Položkový rozpočet'!I2</f>
        <v> </v>
      </c>
      <c r="G2" s="190"/>
      <c r="H2" s="173" t="s">
        <v>325</v>
      </c>
      <c r="I2" s="184"/>
      <c r="J2" s="28"/>
    </row>
    <row r="3" spans="1:10" ht="12.75">
      <c r="A3" s="161"/>
      <c r="B3" s="140"/>
      <c r="C3" s="172"/>
      <c r="D3" s="172"/>
      <c r="E3" s="140"/>
      <c r="F3" s="191"/>
      <c r="G3" s="191"/>
      <c r="H3" s="140"/>
      <c r="I3" s="185"/>
      <c r="J3" s="28"/>
    </row>
    <row r="4" spans="1:10" ht="12.75">
      <c r="A4" s="160" t="s">
        <v>1</v>
      </c>
      <c r="B4" s="140"/>
      <c r="C4" s="192" t="str">
        <f>'Položkový rozpočet'!D4</f>
        <v xml:space="preserve"> </v>
      </c>
      <c r="D4" s="191"/>
      <c r="E4" s="139" t="s">
        <v>234</v>
      </c>
      <c r="F4" s="192"/>
      <c r="G4" s="191"/>
      <c r="H4" s="139" t="s">
        <v>325</v>
      </c>
      <c r="I4" s="186"/>
      <c r="J4" s="28"/>
    </row>
    <row r="5" spans="1:10" ht="12.75">
      <c r="A5" s="161"/>
      <c r="B5" s="140"/>
      <c r="C5" s="191"/>
      <c r="D5" s="191"/>
      <c r="E5" s="140"/>
      <c r="F5" s="191"/>
      <c r="G5" s="191"/>
      <c r="H5" s="140"/>
      <c r="I5" s="185"/>
      <c r="J5" s="28"/>
    </row>
    <row r="6" spans="1:10" ht="12.75">
      <c r="A6" s="160" t="s">
        <v>2</v>
      </c>
      <c r="B6" s="140"/>
      <c r="C6" s="139" t="str">
        <f>'Položkový rozpočet'!D6</f>
        <v>st.p.č. 3006, 3007, k.ú.Česká Lípa, ul.Dubická č.p.931, Česká Lípa</v>
      </c>
      <c r="D6" s="140"/>
      <c r="E6" s="139" t="s">
        <v>235</v>
      </c>
      <c r="F6" s="192" t="str">
        <f>'Položkový rozpočet'!I6</f>
        <v> </v>
      </c>
      <c r="G6" s="191"/>
      <c r="H6" s="139" t="s">
        <v>325</v>
      </c>
      <c r="I6" s="186"/>
      <c r="J6" s="28"/>
    </row>
    <row r="7" spans="1:10" ht="12.75">
      <c r="A7" s="161"/>
      <c r="B7" s="140"/>
      <c r="C7" s="140"/>
      <c r="D7" s="140"/>
      <c r="E7" s="140"/>
      <c r="F7" s="191"/>
      <c r="G7" s="191"/>
      <c r="H7" s="140"/>
      <c r="I7" s="185"/>
      <c r="J7" s="28"/>
    </row>
    <row r="8" spans="1:10" ht="12.75">
      <c r="A8" s="160" t="s">
        <v>221</v>
      </c>
      <c r="B8" s="140"/>
      <c r="C8" s="192"/>
      <c r="D8" s="191"/>
      <c r="E8" s="139" t="s">
        <v>222</v>
      </c>
      <c r="F8" s="192"/>
      <c r="G8" s="191"/>
      <c r="H8" s="162" t="s">
        <v>326</v>
      </c>
      <c r="I8" s="186" t="s">
        <v>74</v>
      </c>
      <c r="J8" s="28"/>
    </row>
    <row r="9" spans="1:10" ht="12.75">
      <c r="A9" s="161"/>
      <c r="B9" s="140"/>
      <c r="C9" s="191"/>
      <c r="D9" s="191"/>
      <c r="E9" s="140"/>
      <c r="F9" s="191"/>
      <c r="G9" s="191"/>
      <c r="H9" s="140"/>
      <c r="I9" s="185"/>
      <c r="J9" s="28"/>
    </row>
    <row r="10" spans="1:10" ht="12.75">
      <c r="A10" s="160" t="s">
        <v>3</v>
      </c>
      <c r="B10" s="140"/>
      <c r="C10" s="139" t="str">
        <f>'Položkový rozpočet'!D8</f>
        <v>801 21 1 1</v>
      </c>
      <c r="D10" s="140"/>
      <c r="E10" s="139" t="s">
        <v>236</v>
      </c>
      <c r="F10" s="192" t="str">
        <f>'Položkový rozpočet'!I8</f>
        <v> </v>
      </c>
      <c r="G10" s="191"/>
      <c r="H10" s="162" t="s">
        <v>327</v>
      </c>
      <c r="I10" s="187"/>
      <c r="J10" s="28"/>
    </row>
    <row r="11" spans="1:10" ht="12.75">
      <c r="A11" s="164"/>
      <c r="B11" s="165"/>
      <c r="C11" s="165"/>
      <c r="D11" s="165"/>
      <c r="E11" s="165"/>
      <c r="F11" s="193"/>
      <c r="G11" s="193"/>
      <c r="H11" s="165"/>
      <c r="I11" s="188"/>
      <c r="J11" s="28"/>
    </row>
    <row r="12" spans="1:9" ht="23.45" customHeight="1">
      <c r="A12" s="156" t="s">
        <v>286</v>
      </c>
      <c r="B12" s="157"/>
      <c r="C12" s="157"/>
      <c r="D12" s="157"/>
      <c r="E12" s="157"/>
      <c r="F12" s="157"/>
      <c r="G12" s="157"/>
      <c r="H12" s="157"/>
      <c r="I12" s="157"/>
    </row>
    <row r="13" spans="1:10" ht="26.45" customHeight="1">
      <c r="A13" s="38" t="s">
        <v>287</v>
      </c>
      <c r="B13" s="158" t="s">
        <v>299</v>
      </c>
      <c r="C13" s="159"/>
      <c r="D13" s="38" t="s">
        <v>302</v>
      </c>
      <c r="E13" s="158" t="s">
        <v>311</v>
      </c>
      <c r="F13" s="159"/>
      <c r="G13" s="38" t="s">
        <v>312</v>
      </c>
      <c r="H13" s="158" t="s">
        <v>328</v>
      </c>
      <c r="I13" s="159"/>
      <c r="J13" s="28"/>
    </row>
    <row r="14" spans="1:10" ht="15.2" customHeight="1">
      <c r="A14" s="39" t="s">
        <v>288</v>
      </c>
      <c r="B14" s="43" t="s">
        <v>300</v>
      </c>
      <c r="C14" s="47">
        <v>0</v>
      </c>
      <c r="D14" s="154" t="s">
        <v>303</v>
      </c>
      <c r="E14" s="155"/>
      <c r="F14" s="47">
        <v>0</v>
      </c>
      <c r="G14" s="154" t="s">
        <v>213</v>
      </c>
      <c r="H14" s="155"/>
      <c r="I14" s="47">
        <v>0</v>
      </c>
      <c r="J14" s="28"/>
    </row>
    <row r="15" spans="1:10" ht="15.2" customHeight="1">
      <c r="A15" s="40"/>
      <c r="B15" s="43" t="s">
        <v>241</v>
      </c>
      <c r="C15" s="47">
        <v>0</v>
      </c>
      <c r="D15" s="154" t="s">
        <v>304</v>
      </c>
      <c r="E15" s="155"/>
      <c r="F15" s="47">
        <v>0</v>
      </c>
      <c r="G15" s="154" t="s">
        <v>313</v>
      </c>
      <c r="H15" s="155"/>
      <c r="I15" s="47">
        <v>0</v>
      </c>
      <c r="J15" s="28"/>
    </row>
    <row r="16" spans="1:10" ht="15.2" customHeight="1">
      <c r="A16" s="39" t="s">
        <v>289</v>
      </c>
      <c r="B16" s="43" t="s">
        <v>300</v>
      </c>
      <c r="C16" s="47">
        <v>0</v>
      </c>
      <c r="D16" s="154" t="s">
        <v>305</v>
      </c>
      <c r="E16" s="155"/>
      <c r="F16" s="47">
        <v>0</v>
      </c>
      <c r="G16" s="154" t="s">
        <v>314</v>
      </c>
      <c r="H16" s="155"/>
      <c r="I16" s="47">
        <v>0</v>
      </c>
      <c r="J16" s="28"/>
    </row>
    <row r="17" spans="1:10" ht="15.2" customHeight="1">
      <c r="A17" s="40"/>
      <c r="B17" s="43" t="s">
        <v>241</v>
      </c>
      <c r="C17" s="47">
        <v>0</v>
      </c>
      <c r="D17" s="154"/>
      <c r="E17" s="155"/>
      <c r="F17" s="48"/>
      <c r="G17" s="154" t="s">
        <v>315</v>
      </c>
      <c r="H17" s="155"/>
      <c r="I17" s="47">
        <v>0</v>
      </c>
      <c r="J17" s="28"/>
    </row>
    <row r="18" spans="1:10" ht="15.2" customHeight="1">
      <c r="A18" s="39" t="s">
        <v>290</v>
      </c>
      <c r="B18" s="43" t="s">
        <v>300</v>
      </c>
      <c r="C18" s="47">
        <v>0</v>
      </c>
      <c r="D18" s="154"/>
      <c r="E18" s="155"/>
      <c r="F18" s="48"/>
      <c r="G18" s="154" t="s">
        <v>316</v>
      </c>
      <c r="H18" s="155"/>
      <c r="I18" s="47">
        <v>0</v>
      </c>
      <c r="J18" s="28"/>
    </row>
    <row r="19" spans="1:10" ht="15.2" customHeight="1">
      <c r="A19" s="40"/>
      <c r="B19" s="43" t="s">
        <v>241</v>
      </c>
      <c r="C19" s="47">
        <v>0</v>
      </c>
      <c r="D19" s="154"/>
      <c r="E19" s="155"/>
      <c r="F19" s="48"/>
      <c r="G19" s="154" t="s">
        <v>317</v>
      </c>
      <c r="H19" s="155"/>
      <c r="I19" s="47">
        <v>0</v>
      </c>
      <c r="J19" s="28"/>
    </row>
    <row r="20" spans="1:10" ht="15.2" customHeight="1">
      <c r="A20" s="152" t="s">
        <v>291</v>
      </c>
      <c r="B20" s="153"/>
      <c r="C20" s="47">
        <v>0</v>
      </c>
      <c r="D20" s="154"/>
      <c r="E20" s="155"/>
      <c r="F20" s="48"/>
      <c r="G20" s="154"/>
      <c r="H20" s="155"/>
      <c r="I20" s="48"/>
      <c r="J20" s="28"/>
    </row>
    <row r="21" spans="1:10" ht="15.2" customHeight="1">
      <c r="A21" s="152" t="s">
        <v>292</v>
      </c>
      <c r="B21" s="153"/>
      <c r="C21" s="47">
        <v>0</v>
      </c>
      <c r="D21" s="154"/>
      <c r="E21" s="155"/>
      <c r="F21" s="48"/>
      <c r="G21" s="154"/>
      <c r="H21" s="155"/>
      <c r="I21" s="48"/>
      <c r="J21" s="28"/>
    </row>
    <row r="22" spans="1:10" ht="16.7" customHeight="1">
      <c r="A22" s="152" t="s">
        <v>293</v>
      </c>
      <c r="B22" s="153"/>
      <c r="C22" s="47">
        <f>'Položkový rozpočet - součet'!F25</f>
        <v>0</v>
      </c>
      <c r="D22" s="152" t="s">
        <v>306</v>
      </c>
      <c r="E22" s="153"/>
      <c r="F22" s="47">
        <v>0</v>
      </c>
      <c r="G22" s="152" t="s">
        <v>318</v>
      </c>
      <c r="H22" s="153"/>
      <c r="I22" s="47">
        <v>0</v>
      </c>
      <c r="J22" s="28"/>
    </row>
    <row r="23" spans="1:10" ht="15.2" customHeight="1">
      <c r="A23" s="7"/>
      <c r="B23" s="7"/>
      <c r="C23" s="45"/>
      <c r="D23" s="152" t="s">
        <v>307</v>
      </c>
      <c r="E23" s="153"/>
      <c r="F23" s="49">
        <v>0</v>
      </c>
      <c r="G23" s="152" t="s">
        <v>319</v>
      </c>
      <c r="H23" s="153"/>
      <c r="I23" s="47">
        <v>0</v>
      </c>
      <c r="J23" s="28"/>
    </row>
    <row r="24" spans="4:10" ht="15.2" customHeight="1">
      <c r="D24" s="7"/>
      <c r="E24" s="7"/>
      <c r="F24" s="50"/>
      <c r="G24" s="152" t="s">
        <v>320</v>
      </c>
      <c r="H24" s="153"/>
      <c r="I24" s="47">
        <v>0</v>
      </c>
      <c r="J24" s="28"/>
    </row>
    <row r="25" spans="6:10" ht="15.2" customHeight="1">
      <c r="F25" s="51"/>
      <c r="G25" s="152" t="s">
        <v>321</v>
      </c>
      <c r="H25" s="153"/>
      <c r="I25" s="47">
        <v>0</v>
      </c>
      <c r="J25" s="28"/>
    </row>
    <row r="26" spans="1:9" ht="12.75">
      <c r="A26" s="37"/>
      <c r="B26" s="37"/>
      <c r="C26" s="37"/>
      <c r="G26" s="7"/>
      <c r="H26" s="7"/>
      <c r="I26" s="7"/>
    </row>
    <row r="27" spans="1:9" ht="15.2" customHeight="1">
      <c r="A27" s="147" t="s">
        <v>294</v>
      </c>
      <c r="B27" s="148"/>
      <c r="C27" s="52">
        <f>SUM('Položkový rozpočet'!AJ12:AJ86)</f>
        <v>0</v>
      </c>
      <c r="D27" s="46"/>
      <c r="E27" s="37"/>
      <c r="F27" s="37"/>
      <c r="G27" s="37"/>
      <c r="H27" s="37"/>
      <c r="I27" s="37"/>
    </row>
    <row r="28" spans="1:10" ht="15.2" customHeight="1">
      <c r="A28" s="147" t="s">
        <v>295</v>
      </c>
      <c r="B28" s="148"/>
      <c r="C28" s="52">
        <f>SUM('Položkový rozpočet'!AK12:AK86)</f>
        <v>0</v>
      </c>
      <c r="D28" s="147" t="s">
        <v>308</v>
      </c>
      <c r="E28" s="148"/>
      <c r="F28" s="52">
        <f>ROUND(C28*(15/100),2)</f>
        <v>0</v>
      </c>
      <c r="G28" s="147" t="s">
        <v>322</v>
      </c>
      <c r="H28" s="148"/>
      <c r="I28" s="52">
        <f>SUM(C27:C29)</f>
        <v>0</v>
      </c>
      <c r="J28" s="28"/>
    </row>
    <row r="29" spans="1:10" ht="15.2" customHeight="1">
      <c r="A29" s="147" t="s">
        <v>296</v>
      </c>
      <c r="B29" s="148"/>
      <c r="C29" s="52">
        <f>C22</f>
        <v>0</v>
      </c>
      <c r="D29" s="147" t="s">
        <v>309</v>
      </c>
      <c r="E29" s="148"/>
      <c r="F29" s="52">
        <f>ROUND(C29*(21/100),2)</f>
        <v>0</v>
      </c>
      <c r="G29" s="147" t="s">
        <v>323</v>
      </c>
      <c r="H29" s="148"/>
      <c r="I29" s="52">
        <f>SUM(F28:F29)+I28</f>
        <v>0</v>
      </c>
      <c r="J29" s="28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45" customHeight="1">
      <c r="A31" s="149" t="s">
        <v>297</v>
      </c>
      <c r="B31" s="150"/>
      <c r="C31" s="151"/>
      <c r="D31" s="149" t="s">
        <v>310</v>
      </c>
      <c r="E31" s="150"/>
      <c r="F31" s="151"/>
      <c r="G31" s="149" t="s">
        <v>324</v>
      </c>
      <c r="H31" s="150"/>
      <c r="I31" s="151"/>
      <c r="J31" s="29"/>
    </row>
    <row r="32" spans="1:10" ht="14.45" customHeight="1">
      <c r="A32" s="141"/>
      <c r="B32" s="142"/>
      <c r="C32" s="143"/>
      <c r="D32" s="141"/>
      <c r="E32" s="142"/>
      <c r="F32" s="143"/>
      <c r="G32" s="194"/>
      <c r="H32" s="195"/>
      <c r="I32" s="196"/>
      <c r="J32" s="29"/>
    </row>
    <row r="33" spans="1:10" ht="14.45" customHeight="1">
      <c r="A33" s="141"/>
      <c r="B33" s="142"/>
      <c r="C33" s="143"/>
      <c r="D33" s="141"/>
      <c r="E33" s="142"/>
      <c r="F33" s="143"/>
      <c r="G33" s="194"/>
      <c r="H33" s="195"/>
      <c r="I33" s="196"/>
      <c r="J33" s="29"/>
    </row>
    <row r="34" spans="1:10" ht="14.45" customHeight="1">
      <c r="A34" s="141"/>
      <c r="B34" s="142"/>
      <c r="C34" s="143"/>
      <c r="D34" s="141"/>
      <c r="E34" s="142"/>
      <c r="F34" s="143"/>
      <c r="G34" s="194"/>
      <c r="H34" s="195"/>
      <c r="I34" s="196"/>
      <c r="J34" s="29"/>
    </row>
    <row r="35" spans="1:10" ht="14.45" customHeight="1">
      <c r="A35" s="144" t="s">
        <v>298</v>
      </c>
      <c r="B35" s="145"/>
      <c r="C35" s="146"/>
      <c r="D35" s="144" t="s">
        <v>298</v>
      </c>
      <c r="E35" s="145"/>
      <c r="F35" s="146"/>
      <c r="G35" s="144" t="s">
        <v>298</v>
      </c>
      <c r="H35" s="145"/>
      <c r="I35" s="146"/>
      <c r="J35" s="29"/>
    </row>
    <row r="36" spans="1:9" ht="11.25" customHeight="1">
      <c r="A36" s="42" t="s">
        <v>75</v>
      </c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139"/>
      <c r="B37" s="140"/>
      <c r="C37" s="140"/>
      <c r="D37" s="140"/>
      <c r="E37" s="140"/>
      <c r="F37" s="140"/>
      <c r="G37" s="140"/>
      <c r="H37" s="140"/>
      <c r="I37" s="140"/>
    </row>
  </sheetData>
  <sheetProtection algorithmName="SHA-512" hashValue="eTCy4Yfid0gW3k20Me0fwtkuknA9UMUPgYFW/qg3J7FwFmqqtmpmfnMQkCoRp/TDltarOgD21JPdP0q12m9e7w==" saltValue="FIZkNgjr7OZOJwp1hJrY/g==" spinCount="100000" sheet="1" objects="1" scenarios="1"/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72.00390625" style="0" customWidth="1"/>
    <col min="4" max="4" width="22.140625" style="0" hidden="1" customWidth="1"/>
    <col min="5" max="5" width="21.00390625" style="0" hidden="1" customWidth="1"/>
    <col min="6" max="6" width="20.8515625" style="0" customWidth="1"/>
    <col min="7" max="7" width="19.7109375" style="0" hidden="1" customWidth="1"/>
    <col min="8" max="9" width="11.57421875" style="0" hidden="1" customWidth="1"/>
  </cols>
  <sheetData>
    <row r="1" spans="1:7" ht="72.95" customHeight="1">
      <c r="A1" s="177" t="s">
        <v>339</v>
      </c>
      <c r="B1" s="167"/>
      <c r="C1" s="167"/>
      <c r="D1" s="167"/>
      <c r="E1" s="167"/>
      <c r="F1" s="167"/>
      <c r="G1" s="167"/>
    </row>
    <row r="2" spans="1:8" ht="12.75">
      <c r="A2" s="168" t="s">
        <v>0</v>
      </c>
      <c r="B2" s="170" t="str">
        <f>'Položkový rozpočet'!D2</f>
        <v>Přístavba a stavební úpravy Domu humanity č.p.931</v>
      </c>
      <c r="C2" s="171"/>
      <c r="D2" s="173" t="s">
        <v>233</v>
      </c>
      <c r="E2" s="173" t="str">
        <f>'Položkový rozpočet'!I2</f>
        <v> </v>
      </c>
      <c r="F2" s="169"/>
      <c r="G2" s="178"/>
      <c r="H2" s="28"/>
    </row>
    <row r="3" spans="1:8" ht="12.75">
      <c r="A3" s="161"/>
      <c r="B3" s="172"/>
      <c r="C3" s="172"/>
      <c r="D3" s="140"/>
      <c r="E3" s="140"/>
      <c r="F3" s="140"/>
      <c r="G3" s="163"/>
      <c r="H3" s="28"/>
    </row>
    <row r="4" spans="1:8" ht="12.75">
      <c r="A4" s="160" t="s">
        <v>1</v>
      </c>
      <c r="B4" s="139" t="str">
        <f>'Položkový rozpočet'!D4</f>
        <v xml:space="preserve"> </v>
      </c>
      <c r="C4" s="140"/>
      <c r="D4" s="139" t="s">
        <v>234</v>
      </c>
      <c r="E4" s="139" t="str">
        <f>'Položkový rozpočet'!I4</f>
        <v> </v>
      </c>
      <c r="F4" s="140"/>
      <c r="G4" s="163"/>
      <c r="H4" s="28"/>
    </row>
    <row r="5" spans="1:8" ht="12.75">
      <c r="A5" s="161"/>
      <c r="B5" s="140"/>
      <c r="C5" s="140"/>
      <c r="D5" s="140"/>
      <c r="E5" s="140"/>
      <c r="F5" s="140"/>
      <c r="G5" s="163"/>
      <c r="H5" s="28"/>
    </row>
    <row r="6" spans="1:8" ht="12.75">
      <c r="A6" s="160" t="s">
        <v>2</v>
      </c>
      <c r="B6" s="139" t="str">
        <f>'Položkový rozpočet'!D6</f>
        <v>st.p.č. 3006, 3007, k.ú.Česká Lípa, ul.Dubická č.p.931, Česká Lípa</v>
      </c>
      <c r="C6" s="140"/>
      <c r="D6" s="139" t="s">
        <v>235</v>
      </c>
      <c r="E6" s="139" t="str">
        <f>'Položkový rozpočet'!I6</f>
        <v> </v>
      </c>
      <c r="F6" s="140"/>
      <c r="G6" s="163"/>
      <c r="H6" s="28"/>
    </row>
    <row r="7" spans="1:8" ht="12.75">
      <c r="A7" s="161"/>
      <c r="B7" s="140"/>
      <c r="C7" s="140"/>
      <c r="D7" s="140"/>
      <c r="E7" s="140"/>
      <c r="F7" s="140"/>
      <c r="G7" s="163"/>
      <c r="H7" s="28"/>
    </row>
    <row r="8" spans="1:8" ht="12.75">
      <c r="A8" s="160" t="s">
        <v>236</v>
      </c>
      <c r="B8" s="139" t="str">
        <f>'Položkový rozpočet'!I8</f>
        <v> </v>
      </c>
      <c r="C8" s="140"/>
      <c r="D8" s="162" t="s">
        <v>223</v>
      </c>
      <c r="E8" s="139"/>
      <c r="F8" s="140"/>
      <c r="G8" s="163"/>
      <c r="H8" s="28"/>
    </row>
    <row r="9" spans="1:8" ht="13.5" thickBot="1">
      <c r="A9" s="174"/>
      <c r="B9" s="175"/>
      <c r="C9" s="175"/>
      <c r="D9" s="175"/>
      <c r="E9" s="175"/>
      <c r="F9" s="175"/>
      <c r="G9" s="176"/>
      <c r="H9" s="28"/>
    </row>
    <row r="10" spans="1:8" ht="13.5" thickBot="1">
      <c r="A10" s="138" t="s">
        <v>76</v>
      </c>
      <c r="B10" s="121" t="s">
        <v>79</v>
      </c>
      <c r="C10" s="34" t="s">
        <v>279</v>
      </c>
      <c r="D10" s="35" t="s">
        <v>280</v>
      </c>
      <c r="E10" s="35" t="s">
        <v>281</v>
      </c>
      <c r="F10" s="36" t="s">
        <v>282</v>
      </c>
      <c r="G10" s="137" t="s">
        <v>283</v>
      </c>
      <c r="H10" s="29"/>
    </row>
    <row r="11" spans="1:9" ht="12.75">
      <c r="A11" s="105" t="s">
        <v>77</v>
      </c>
      <c r="B11" s="134"/>
      <c r="C11" s="106" t="s">
        <v>174</v>
      </c>
      <c r="D11" s="107" t="e">
        <f>'Položkový rozpočet'!H12</f>
        <v>#REF!</v>
      </c>
      <c r="E11" s="107" t="e">
        <f>'Položkový rozpočet'!I12</f>
        <v>#REF!</v>
      </c>
      <c r="F11" s="108">
        <f>'Položkový rozpočet'!J12</f>
        <v>0</v>
      </c>
      <c r="G11" s="60">
        <f>'Položkový rozpočet'!L12</f>
        <v>9.3636427</v>
      </c>
      <c r="H11" s="30" t="s">
        <v>284</v>
      </c>
      <c r="I11" s="30">
        <f aca="true" t="shared" si="0" ref="I11">IF(H11="F",0,F11)</f>
        <v>0</v>
      </c>
    </row>
    <row r="12" spans="1:9" ht="12.75">
      <c r="A12" s="122" t="s">
        <v>77</v>
      </c>
      <c r="B12" s="130" t="s">
        <v>9</v>
      </c>
      <c r="C12" s="109" t="s">
        <v>147</v>
      </c>
      <c r="D12" s="110" t="e">
        <f>#REF!</f>
        <v>#REF!</v>
      </c>
      <c r="E12" s="110" t="e">
        <f>#REF!</f>
        <v>#REF!</v>
      </c>
      <c r="F12" s="111">
        <f>'Položkový rozpočet'!J13</f>
        <v>0</v>
      </c>
      <c r="G12" s="30" t="e">
        <f>#REF!</f>
        <v>#REF!</v>
      </c>
      <c r="H12" s="30" t="s">
        <v>285</v>
      </c>
      <c r="I12" s="30">
        <f aca="true" t="shared" si="1" ref="I12:I13">IF(H12="F",0,F12)</f>
        <v>0</v>
      </c>
    </row>
    <row r="13" spans="1:9" ht="12.75">
      <c r="A13" s="122" t="s">
        <v>77</v>
      </c>
      <c r="B13" s="130" t="s">
        <v>10</v>
      </c>
      <c r="C13" s="109" t="s">
        <v>152</v>
      </c>
      <c r="D13" s="110" t="e">
        <f>#REF!</f>
        <v>#REF!</v>
      </c>
      <c r="E13" s="110" t="e">
        <f>#REF!</f>
        <v>#REF!</v>
      </c>
      <c r="F13" s="111">
        <f>'Položkový rozpočet'!J20</f>
        <v>0</v>
      </c>
      <c r="G13" s="30" t="e">
        <f>#REF!</f>
        <v>#REF!</v>
      </c>
      <c r="H13" s="30" t="s">
        <v>285</v>
      </c>
      <c r="I13" s="30">
        <f t="shared" si="1"/>
        <v>0</v>
      </c>
    </row>
    <row r="14" spans="1:9" ht="12.75">
      <c r="A14" s="122" t="s">
        <v>77</v>
      </c>
      <c r="B14" s="131" t="s">
        <v>11</v>
      </c>
      <c r="C14" s="109" t="s">
        <v>154</v>
      </c>
      <c r="D14" s="112">
        <f>'Položkový rozpočet'!H78</f>
        <v>0</v>
      </c>
      <c r="E14" s="112">
        <f>'Položkový rozpočet'!I78</f>
        <v>0</v>
      </c>
      <c r="F14" s="113">
        <f>'Položkový rozpočet'!J23</f>
        <v>0</v>
      </c>
      <c r="G14" s="60">
        <f>'Položkový rozpočet'!L78</f>
        <v>0</v>
      </c>
      <c r="H14" s="30" t="s">
        <v>284</v>
      </c>
      <c r="I14" s="30">
        <f>IF(H14="F",0,F23)</f>
        <v>0</v>
      </c>
    </row>
    <row r="15" spans="1:9" ht="12.75">
      <c r="A15" s="122" t="s">
        <v>77</v>
      </c>
      <c r="B15" s="130" t="s">
        <v>12</v>
      </c>
      <c r="C15" s="109" t="s">
        <v>179</v>
      </c>
      <c r="D15" s="110">
        <f>'Položkový rozpočet'!H79</f>
        <v>0</v>
      </c>
      <c r="E15" s="110">
        <f>'Položkový rozpočet'!I79</f>
        <v>0</v>
      </c>
      <c r="F15" s="113">
        <f>'Položkový rozpočet'!J27</f>
        <v>0</v>
      </c>
      <c r="G15" s="30">
        <f>'Položkový rozpočet'!L79</f>
        <v>0</v>
      </c>
      <c r="H15" s="30" t="s">
        <v>285</v>
      </c>
      <c r="I15" s="30">
        <f>IF(H15="F",0,F24)</f>
        <v>0</v>
      </c>
    </row>
    <row r="16" spans="1:6" ht="12.75">
      <c r="A16" s="122" t="s">
        <v>77</v>
      </c>
      <c r="B16" s="132" t="s">
        <v>112</v>
      </c>
      <c r="C16" s="109" t="s">
        <v>188</v>
      </c>
      <c r="D16" s="114"/>
      <c r="E16" s="115" t="s">
        <v>239</v>
      </c>
      <c r="F16" s="113">
        <f>'Položkový rozpočet'!J36</f>
        <v>0</v>
      </c>
    </row>
    <row r="17" spans="1:6" ht="12.75">
      <c r="A17" s="122" t="s">
        <v>77</v>
      </c>
      <c r="B17" s="132" t="s">
        <v>123</v>
      </c>
      <c r="C17" s="109" t="s">
        <v>199</v>
      </c>
      <c r="D17" s="114"/>
      <c r="E17" s="114"/>
      <c r="F17" s="113">
        <f>'Položkový rozpočet'!J47</f>
        <v>0</v>
      </c>
    </row>
    <row r="18" spans="1:6" ht="12.75">
      <c r="A18" s="122" t="s">
        <v>77</v>
      </c>
      <c r="B18" s="133">
        <v>764</v>
      </c>
      <c r="C18" s="109" t="s">
        <v>157</v>
      </c>
      <c r="D18" s="114"/>
      <c r="E18" s="114"/>
      <c r="F18" s="113">
        <f>'Položkový rozpočet'!J49</f>
        <v>0</v>
      </c>
    </row>
    <row r="19" spans="1:6" ht="12.75">
      <c r="A19" s="122" t="s">
        <v>77</v>
      </c>
      <c r="B19" s="133">
        <v>766</v>
      </c>
      <c r="C19" s="109" t="s">
        <v>159</v>
      </c>
      <c r="D19" s="114"/>
      <c r="E19" s="114"/>
      <c r="F19" s="113">
        <f>'Položkový rozpočet'!J54</f>
        <v>0</v>
      </c>
    </row>
    <row r="20" spans="1:6" ht="12.75">
      <c r="A20" s="122" t="s">
        <v>77</v>
      </c>
      <c r="B20" s="133">
        <v>767</v>
      </c>
      <c r="C20" s="109" t="s">
        <v>163</v>
      </c>
      <c r="D20" s="114"/>
      <c r="E20" s="114"/>
      <c r="F20" s="113">
        <f>'Položkový rozpočet'!J64</f>
        <v>0</v>
      </c>
    </row>
    <row r="21" spans="1:6" ht="12.75">
      <c r="A21" s="122" t="s">
        <v>77</v>
      </c>
      <c r="B21" s="133">
        <v>781</v>
      </c>
      <c r="C21" s="109" t="s">
        <v>165</v>
      </c>
      <c r="D21" s="114"/>
      <c r="E21" s="114"/>
      <c r="F21" s="113">
        <f>'Položkový rozpočet'!J68</f>
        <v>0</v>
      </c>
    </row>
    <row r="22" spans="1:6" ht="12.75">
      <c r="A22" s="122" t="s">
        <v>77</v>
      </c>
      <c r="B22" s="133">
        <v>784</v>
      </c>
      <c r="C22" s="109" t="s">
        <v>167</v>
      </c>
      <c r="D22" s="114"/>
      <c r="E22" s="114"/>
      <c r="F22" s="113">
        <f>'Položkový rozpočet'!J71</f>
        <v>0</v>
      </c>
    </row>
    <row r="23" spans="1:6" ht="12.75">
      <c r="A23" s="135" t="s">
        <v>78</v>
      </c>
      <c r="B23" s="114"/>
      <c r="C23" s="116" t="s">
        <v>211</v>
      </c>
      <c r="D23" s="114"/>
      <c r="E23" s="114"/>
      <c r="F23" s="117">
        <f>'Položkový rozpočet'!J78</f>
        <v>0</v>
      </c>
    </row>
    <row r="24" spans="1:6" ht="13.5" thickBot="1">
      <c r="A24" s="136" t="s">
        <v>78</v>
      </c>
      <c r="B24" s="119"/>
      <c r="C24" s="118" t="s">
        <v>212</v>
      </c>
      <c r="D24" s="119"/>
      <c r="E24" s="119"/>
      <c r="F24" s="120">
        <f>'Položkový rozpočet'!J79</f>
        <v>0</v>
      </c>
    </row>
    <row r="25" ht="13.5" thickBot="1">
      <c r="F25" s="129">
        <f>'Položkový rozpočet'!J88</f>
        <v>0</v>
      </c>
    </row>
  </sheetData>
  <sheetProtection algorithmName="SHA-512" hashValue="af4NI+Ko2cvLsNyGrZ00qjhJNNMYl1giAzPQaeG035LXnSLMM83uJ/P762fnIAD1NxXUT3g02Wx8dQdgSLM+Ng==" saltValue="GJkqrAXavccuowXVn34NrA==" spinCount="100000" sheet="1" objects="1" scenarios="1"/>
  <mergeCells count="17">
    <mergeCell ref="A4:A5"/>
    <mergeCell ref="B4:C5"/>
    <mergeCell ref="D4:D5"/>
    <mergeCell ref="E4:G5"/>
    <mergeCell ref="A1:G1"/>
    <mergeCell ref="A2:A3"/>
    <mergeCell ref="B2:C3"/>
    <mergeCell ref="D2:D3"/>
    <mergeCell ref="E2:G3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90"/>
  <sheetViews>
    <sheetView zoomScale="90" zoomScaleNormal="90" workbookViewId="0" topLeftCell="A1">
      <pane ySplit="11" topLeftCell="A12" activePane="bottomLeft" state="frozen"/>
      <selection pane="bottomLeft" activeCell="O57" sqref="O57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31.421875" style="0" customWidth="1"/>
    <col min="5" max="5" width="7.421875" style="0" customWidth="1"/>
    <col min="6" max="6" width="12.8515625" style="0" customWidth="1"/>
    <col min="7" max="7" width="12.00390625" style="0" customWidth="1"/>
    <col min="8" max="9" width="14.28125" style="0" hidden="1" customWidth="1"/>
    <col min="10" max="10" width="14.140625" style="0" customWidth="1"/>
    <col min="11" max="11" width="0.2890625" style="0" hidden="1" customWidth="1"/>
    <col min="12" max="12" width="0.42578125" style="0" hidden="1" customWidth="1"/>
    <col min="13" max="13" width="11.7109375" style="0" customWidth="1"/>
    <col min="25" max="62" width="12.140625" style="0" hidden="1" customWidth="1"/>
  </cols>
  <sheetData>
    <row r="1" spans="1:13" ht="72.95" customHeight="1">
      <c r="A1" s="177" t="s">
        <v>340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ht="12.75">
      <c r="A2" s="168" t="s">
        <v>0</v>
      </c>
      <c r="B2" s="169"/>
      <c r="C2" s="169"/>
      <c r="D2" s="170" t="s">
        <v>142</v>
      </c>
      <c r="E2" s="183" t="s">
        <v>220</v>
      </c>
      <c r="F2" s="169"/>
      <c r="G2" s="183" t="s">
        <v>5</v>
      </c>
      <c r="H2" s="173" t="s">
        <v>233</v>
      </c>
      <c r="I2" s="183" t="s">
        <v>240</v>
      </c>
      <c r="J2" s="169"/>
      <c r="K2" s="169"/>
      <c r="L2" s="169"/>
      <c r="M2" s="178"/>
      <c r="N2" s="28"/>
    </row>
    <row r="3" spans="1:14" ht="12.75">
      <c r="A3" s="161"/>
      <c r="B3" s="140"/>
      <c r="C3" s="140"/>
      <c r="D3" s="172"/>
      <c r="E3" s="140"/>
      <c r="F3" s="140"/>
      <c r="G3" s="140"/>
      <c r="H3" s="140"/>
      <c r="I3" s="140"/>
      <c r="J3" s="140"/>
      <c r="K3" s="140"/>
      <c r="L3" s="140"/>
      <c r="M3" s="163"/>
      <c r="N3" s="28"/>
    </row>
    <row r="4" spans="1:14" ht="12.75">
      <c r="A4" s="160" t="s">
        <v>1</v>
      </c>
      <c r="B4" s="140"/>
      <c r="C4" s="140"/>
      <c r="D4" s="139" t="s">
        <v>5</v>
      </c>
      <c r="E4" s="162" t="s">
        <v>221</v>
      </c>
      <c r="F4" s="140"/>
      <c r="G4" s="162"/>
      <c r="H4" s="139" t="s">
        <v>234</v>
      </c>
      <c r="I4" s="162" t="s">
        <v>240</v>
      </c>
      <c r="J4" s="140"/>
      <c r="K4" s="140"/>
      <c r="L4" s="140"/>
      <c r="M4" s="163"/>
      <c r="N4" s="28"/>
    </row>
    <row r="5" spans="1:14" ht="12.75">
      <c r="A5" s="161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63"/>
      <c r="N5" s="28"/>
    </row>
    <row r="6" spans="1:14" ht="12.75">
      <c r="A6" s="160" t="s">
        <v>2</v>
      </c>
      <c r="B6" s="140"/>
      <c r="C6" s="140"/>
      <c r="D6" s="139" t="s">
        <v>143</v>
      </c>
      <c r="E6" s="162" t="s">
        <v>222</v>
      </c>
      <c r="F6" s="140"/>
      <c r="G6" s="162" t="s">
        <v>5</v>
      </c>
      <c r="H6" s="139" t="s">
        <v>235</v>
      </c>
      <c r="I6" s="162" t="s">
        <v>240</v>
      </c>
      <c r="J6" s="140"/>
      <c r="K6" s="140"/>
      <c r="L6" s="140"/>
      <c r="M6" s="163"/>
      <c r="N6" s="28"/>
    </row>
    <row r="7" spans="1:14" ht="12.75">
      <c r="A7" s="161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63"/>
      <c r="N7" s="28"/>
    </row>
    <row r="8" spans="1:14" ht="12.75">
      <c r="A8" s="160" t="s">
        <v>3</v>
      </c>
      <c r="B8" s="140"/>
      <c r="C8" s="140"/>
      <c r="D8" s="139" t="s">
        <v>144</v>
      </c>
      <c r="E8" s="162" t="s">
        <v>223</v>
      </c>
      <c r="F8" s="140"/>
      <c r="G8" s="162"/>
      <c r="H8" s="139" t="s">
        <v>236</v>
      </c>
      <c r="I8" s="162" t="s">
        <v>240</v>
      </c>
      <c r="J8" s="140"/>
      <c r="K8" s="140"/>
      <c r="L8" s="140"/>
      <c r="M8" s="163"/>
      <c r="N8" s="28"/>
    </row>
    <row r="9" spans="1:14" ht="12.75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6"/>
      <c r="N9" s="28"/>
    </row>
    <row r="10" spans="1:14" ht="12.75">
      <c r="A10" s="1" t="s">
        <v>4</v>
      </c>
      <c r="B10" s="9" t="s">
        <v>76</v>
      </c>
      <c r="C10" s="9" t="s">
        <v>79</v>
      </c>
      <c r="D10" s="9" t="s">
        <v>145</v>
      </c>
      <c r="E10" s="9" t="s">
        <v>224</v>
      </c>
      <c r="F10" s="13" t="s">
        <v>230</v>
      </c>
      <c r="G10" s="17" t="s">
        <v>231</v>
      </c>
      <c r="H10" s="179" t="s">
        <v>237</v>
      </c>
      <c r="I10" s="180"/>
      <c r="J10" s="181"/>
      <c r="K10" s="179" t="s">
        <v>243</v>
      </c>
      <c r="L10" s="181"/>
      <c r="M10" s="23" t="s">
        <v>245</v>
      </c>
      <c r="N10" s="29"/>
    </row>
    <row r="11" spans="1:62" ht="13.5" thickBot="1">
      <c r="A11" s="2" t="s">
        <v>5</v>
      </c>
      <c r="B11" s="10" t="s">
        <v>5</v>
      </c>
      <c r="C11" s="10" t="s">
        <v>5</v>
      </c>
      <c r="D11" s="12" t="s">
        <v>146</v>
      </c>
      <c r="E11" s="10" t="s">
        <v>5</v>
      </c>
      <c r="F11" s="10" t="s">
        <v>5</v>
      </c>
      <c r="G11" s="18" t="s">
        <v>232</v>
      </c>
      <c r="H11" s="19" t="s">
        <v>238</v>
      </c>
      <c r="I11" s="20" t="s">
        <v>241</v>
      </c>
      <c r="J11" s="21" t="s">
        <v>242</v>
      </c>
      <c r="K11" s="19" t="s">
        <v>244</v>
      </c>
      <c r="L11" s="21" t="s">
        <v>242</v>
      </c>
      <c r="M11" s="24" t="s">
        <v>246</v>
      </c>
      <c r="N11" s="29"/>
      <c r="Z11" s="22" t="s">
        <v>248</v>
      </c>
      <c r="AA11" s="22" t="s">
        <v>249</v>
      </c>
      <c r="AB11" s="22" t="s">
        <v>250</v>
      </c>
      <c r="AC11" s="22" t="s">
        <v>251</v>
      </c>
      <c r="AD11" s="22" t="s">
        <v>252</v>
      </c>
      <c r="AE11" s="22" t="s">
        <v>253</v>
      </c>
      <c r="AF11" s="22" t="s">
        <v>254</v>
      </c>
      <c r="AG11" s="22" t="s">
        <v>255</v>
      </c>
      <c r="AH11" s="22" t="s">
        <v>256</v>
      </c>
      <c r="BH11" s="22" t="s">
        <v>276</v>
      </c>
      <c r="BI11" s="22" t="s">
        <v>277</v>
      </c>
      <c r="BJ11" s="22" t="s">
        <v>278</v>
      </c>
    </row>
    <row r="12" spans="1:13" ht="12.75">
      <c r="A12" s="56"/>
      <c r="B12" s="57" t="s">
        <v>77</v>
      </c>
      <c r="C12" s="57"/>
      <c r="D12" s="57" t="s">
        <v>174</v>
      </c>
      <c r="E12" s="56" t="s">
        <v>5</v>
      </c>
      <c r="F12" s="56" t="s">
        <v>5</v>
      </c>
      <c r="G12" s="56" t="s">
        <v>5</v>
      </c>
      <c r="H12" s="58" t="e">
        <f>#REF!+#REF!+#REF!+#REF!+#REF!+#REF!+#REF!+#REF!+#REF!+#REF!+H13+#REF!+#REF!+H20+#REF!+#REF!+H23+H27+#REF!+H36+H47+#REF!+#REF!+#REF!+#REF!+#REF!+#REF!+#REF!+#REF!+#REF!+H49+#REF!+H54+H64+#REF!+#REF!+H68+#REF!+H71+#REF!+#REF!</f>
        <v>#REF!</v>
      </c>
      <c r="I12" s="58" t="e">
        <f>#REF!+#REF!+#REF!+#REF!+#REF!+#REF!+#REF!+#REF!+#REF!+#REF!+I13+#REF!+#REF!+I20+#REF!+#REF!+I23+I27+#REF!+I36+I47+#REF!+#REF!+#REF!+#REF!+#REF!+#REF!+#REF!+#REF!+#REF!+I49+#REF!+I54+I64+#REF!+#REF!+I68+#REF!+I71+#REF!+#REF!</f>
        <v>#REF!</v>
      </c>
      <c r="J12" s="58">
        <f>J13+J20+J23+J27+J36+J47+J49+J54+J64+J68+J71</f>
        <v>0</v>
      </c>
      <c r="K12" s="59"/>
      <c r="L12" s="58">
        <f>L13+L20+L23+L27+L36+L47+L49+L54+L64+L68+L71</f>
        <v>9.3636427</v>
      </c>
      <c r="M12" s="59"/>
    </row>
    <row r="13" spans="1:47" ht="12.75">
      <c r="A13" s="3"/>
      <c r="B13" s="11" t="s">
        <v>77</v>
      </c>
      <c r="C13" s="11" t="s">
        <v>9</v>
      </c>
      <c r="D13" s="11" t="s">
        <v>147</v>
      </c>
      <c r="E13" s="3" t="s">
        <v>5</v>
      </c>
      <c r="F13" s="3" t="s">
        <v>5</v>
      </c>
      <c r="G13" s="3" t="s">
        <v>5</v>
      </c>
      <c r="H13" s="32">
        <f>SUM(H14:H19)</f>
        <v>0</v>
      </c>
      <c r="I13" s="32">
        <f>SUM(I14:I19)</f>
        <v>0</v>
      </c>
      <c r="J13" s="32">
        <f>SUM(J14:J19)</f>
        <v>0</v>
      </c>
      <c r="K13" s="22"/>
      <c r="L13" s="32">
        <f>SUM(L14:L19)</f>
        <v>4.0722314</v>
      </c>
      <c r="M13" s="22"/>
      <c r="AI13" s="22" t="s">
        <v>77</v>
      </c>
      <c r="AS13" s="32">
        <f>SUM(AJ14:AJ19)</f>
        <v>0</v>
      </c>
      <c r="AT13" s="32">
        <f>SUM(AK14:AK19)</f>
        <v>0</v>
      </c>
      <c r="AU13" s="32">
        <f>SUM(AL14:AL19)</f>
        <v>0</v>
      </c>
    </row>
    <row r="14" spans="1:62" ht="12.75">
      <c r="A14" s="4" t="s">
        <v>18</v>
      </c>
      <c r="B14" s="4" t="s">
        <v>77</v>
      </c>
      <c r="C14" s="4" t="s">
        <v>80</v>
      </c>
      <c r="D14" s="4" t="s">
        <v>148</v>
      </c>
      <c r="E14" s="4" t="s">
        <v>228</v>
      </c>
      <c r="F14" s="54">
        <v>44.9</v>
      </c>
      <c r="G14" s="123">
        <v>0</v>
      </c>
      <c r="H14" s="14">
        <f aca="true" t="shared" si="0" ref="H14:H19">F14*AO14</f>
        <v>0</v>
      </c>
      <c r="I14" s="14">
        <f aca="true" t="shared" si="1" ref="I14:I19">F14*AP14</f>
        <v>0</v>
      </c>
      <c r="J14" s="14">
        <f aca="true" t="shared" si="2" ref="J14:J19">F14*G14</f>
        <v>0</v>
      </c>
      <c r="K14" s="14">
        <v>0.00023</v>
      </c>
      <c r="L14" s="14">
        <f aca="true" t="shared" si="3" ref="L14:L19">F14*K14</f>
        <v>0.010327</v>
      </c>
      <c r="M14" s="25" t="s">
        <v>247</v>
      </c>
      <c r="Z14" s="30">
        <f aca="true" t="shared" si="4" ref="Z14:Z19">IF(AQ14="5",BJ14,0)</f>
        <v>0</v>
      </c>
      <c r="AB14" s="30">
        <f aca="true" t="shared" si="5" ref="AB14:AB19">IF(AQ14="1",BH14,0)</f>
        <v>0</v>
      </c>
      <c r="AC14" s="30">
        <f aca="true" t="shared" si="6" ref="AC14:AC19">IF(AQ14="1",BI14,0)</f>
        <v>0</v>
      </c>
      <c r="AD14" s="30">
        <f aca="true" t="shared" si="7" ref="AD14:AD19">IF(AQ14="7",BH14,0)</f>
        <v>0</v>
      </c>
      <c r="AE14" s="30">
        <f aca="true" t="shared" si="8" ref="AE14:AE19">IF(AQ14="7",BI14,0)</f>
        <v>0</v>
      </c>
      <c r="AF14" s="30">
        <f aca="true" t="shared" si="9" ref="AF14:AF19">IF(AQ14="2",BH14,0)</f>
        <v>0</v>
      </c>
      <c r="AG14" s="30">
        <f aca="true" t="shared" si="10" ref="AG14:AG19">IF(AQ14="2",BI14,0)</f>
        <v>0</v>
      </c>
      <c r="AH14" s="30">
        <f aca="true" t="shared" si="11" ref="AH14:AH19">IF(AQ14="0",BJ14,0)</f>
        <v>0</v>
      </c>
      <c r="AI14" s="22" t="s">
        <v>77</v>
      </c>
      <c r="AJ14" s="14">
        <f aca="true" t="shared" si="12" ref="AJ14:AJ19">IF(AN14=0,J14,0)</f>
        <v>0</v>
      </c>
      <c r="AK14" s="14">
        <f aca="true" t="shared" si="13" ref="AK14:AK19">IF(AN14=15,J14,0)</f>
        <v>0</v>
      </c>
      <c r="AL14" s="14">
        <f aca="true" t="shared" si="14" ref="AL14:AL19">IF(AN14=21,J14,0)</f>
        <v>0</v>
      </c>
      <c r="AN14" s="30">
        <v>21</v>
      </c>
      <c r="AO14" s="30">
        <f>G14*0.68151001540832</f>
        <v>0</v>
      </c>
      <c r="AP14" s="30">
        <f>G14*(1-0.68151001540832)</f>
        <v>0</v>
      </c>
      <c r="AQ14" s="25" t="s">
        <v>6</v>
      </c>
      <c r="AV14" s="30">
        <f aca="true" t="shared" si="15" ref="AV14:AV19">AW14+AX14</f>
        <v>0</v>
      </c>
      <c r="AW14" s="30">
        <f aca="true" t="shared" si="16" ref="AW14:AW19">F14*AO14</f>
        <v>0</v>
      </c>
      <c r="AX14" s="30">
        <f aca="true" t="shared" si="17" ref="AX14:AX19">F14*AP14</f>
        <v>0</v>
      </c>
      <c r="AY14" s="31" t="s">
        <v>257</v>
      </c>
      <c r="AZ14" s="31" t="s">
        <v>269</v>
      </c>
      <c r="BA14" s="22" t="s">
        <v>274</v>
      </c>
      <c r="BC14" s="30">
        <f aca="true" t="shared" si="18" ref="BC14:BC19">AW14+AX14</f>
        <v>0</v>
      </c>
      <c r="BD14" s="30">
        <f aca="true" t="shared" si="19" ref="BD14:BD19">G14/(100-BE14)*100</f>
        <v>0</v>
      </c>
      <c r="BE14" s="30">
        <v>0</v>
      </c>
      <c r="BF14" s="30">
        <f aca="true" t="shared" si="20" ref="BF14:BF19">L14</f>
        <v>0.010327</v>
      </c>
      <c r="BH14" s="14">
        <f aca="true" t="shared" si="21" ref="BH14:BH19">F14*AO14</f>
        <v>0</v>
      </c>
      <c r="BI14" s="14">
        <f aca="true" t="shared" si="22" ref="BI14:BI19">F14*AP14</f>
        <v>0</v>
      </c>
      <c r="BJ14" s="14">
        <f aca="true" t="shared" si="23" ref="BJ14:BJ19">F14*G14</f>
        <v>0</v>
      </c>
    </row>
    <row r="15" spans="1:62" ht="12.75">
      <c r="A15" s="65" t="s">
        <v>19</v>
      </c>
      <c r="B15" s="65" t="s">
        <v>77</v>
      </c>
      <c r="C15" s="65" t="s">
        <v>81</v>
      </c>
      <c r="D15" s="65" t="s">
        <v>149</v>
      </c>
      <c r="E15" s="65" t="s">
        <v>226</v>
      </c>
      <c r="F15" s="54">
        <v>29.45</v>
      </c>
      <c r="G15" s="123">
        <v>0</v>
      </c>
      <c r="H15" s="66">
        <f t="shared" si="0"/>
        <v>0</v>
      </c>
      <c r="I15" s="66">
        <f t="shared" si="1"/>
        <v>0</v>
      </c>
      <c r="J15" s="66">
        <f t="shared" si="2"/>
        <v>0</v>
      </c>
      <c r="K15" s="66">
        <v>4E-05</v>
      </c>
      <c r="L15" s="66">
        <f t="shared" si="3"/>
        <v>0.001178</v>
      </c>
      <c r="M15" s="67" t="s">
        <v>247</v>
      </c>
      <c r="Z15" s="30">
        <f t="shared" si="4"/>
        <v>0</v>
      </c>
      <c r="AB15" s="30">
        <f t="shared" si="5"/>
        <v>0</v>
      </c>
      <c r="AC15" s="30">
        <f t="shared" si="6"/>
        <v>0</v>
      </c>
      <c r="AD15" s="30">
        <f t="shared" si="7"/>
        <v>0</v>
      </c>
      <c r="AE15" s="30">
        <f t="shared" si="8"/>
        <v>0</v>
      </c>
      <c r="AF15" s="30">
        <f t="shared" si="9"/>
        <v>0</v>
      </c>
      <c r="AG15" s="30">
        <f t="shared" si="10"/>
        <v>0</v>
      </c>
      <c r="AH15" s="30">
        <f t="shared" si="11"/>
        <v>0</v>
      </c>
      <c r="AI15" s="22" t="s">
        <v>77</v>
      </c>
      <c r="AJ15" s="14">
        <f t="shared" si="12"/>
        <v>0</v>
      </c>
      <c r="AK15" s="14">
        <f t="shared" si="13"/>
        <v>0</v>
      </c>
      <c r="AL15" s="14">
        <f t="shared" si="14"/>
        <v>0</v>
      </c>
      <c r="AN15" s="30">
        <v>21</v>
      </c>
      <c r="AO15" s="30">
        <f>G15*0.293420804132879</f>
        <v>0</v>
      </c>
      <c r="AP15" s="30">
        <f>G15*(1-0.293420804132879)</f>
        <v>0</v>
      </c>
      <c r="AQ15" s="25" t="s">
        <v>6</v>
      </c>
      <c r="AV15" s="30">
        <f t="shared" si="15"/>
        <v>0</v>
      </c>
      <c r="AW15" s="30">
        <f t="shared" si="16"/>
        <v>0</v>
      </c>
      <c r="AX15" s="30">
        <f t="shared" si="17"/>
        <v>0</v>
      </c>
      <c r="AY15" s="31" t="s">
        <v>257</v>
      </c>
      <c r="AZ15" s="31" t="s">
        <v>269</v>
      </c>
      <c r="BA15" s="22" t="s">
        <v>274</v>
      </c>
      <c r="BC15" s="30">
        <f t="shared" si="18"/>
        <v>0</v>
      </c>
      <c r="BD15" s="30">
        <f t="shared" si="19"/>
        <v>0</v>
      </c>
      <c r="BE15" s="30">
        <v>0</v>
      </c>
      <c r="BF15" s="30">
        <f t="shared" si="20"/>
        <v>0.001178</v>
      </c>
      <c r="BH15" s="14">
        <f t="shared" si="21"/>
        <v>0</v>
      </c>
      <c r="BI15" s="14">
        <f t="shared" si="22"/>
        <v>0</v>
      </c>
      <c r="BJ15" s="14">
        <f t="shared" si="23"/>
        <v>0</v>
      </c>
    </row>
    <row r="16" spans="1:62" ht="12.75">
      <c r="A16" s="4" t="s">
        <v>20</v>
      </c>
      <c r="B16" s="4" t="s">
        <v>77</v>
      </c>
      <c r="C16" s="4" t="s">
        <v>82</v>
      </c>
      <c r="D16" s="4" t="s">
        <v>150</v>
      </c>
      <c r="E16" s="4" t="s">
        <v>228</v>
      </c>
      <c r="F16" s="99">
        <f>70.9*2</f>
        <v>141.8</v>
      </c>
      <c r="G16" s="123">
        <v>0</v>
      </c>
      <c r="H16" s="14">
        <f t="shared" si="0"/>
        <v>0</v>
      </c>
      <c r="I16" s="14">
        <f t="shared" si="1"/>
        <v>0</v>
      </c>
      <c r="J16" s="14">
        <f t="shared" si="2"/>
        <v>0</v>
      </c>
      <c r="K16" s="14">
        <v>0.00238</v>
      </c>
      <c r="L16" s="14">
        <f t="shared" si="3"/>
        <v>0.33748400000000006</v>
      </c>
      <c r="M16" s="25" t="s">
        <v>247</v>
      </c>
      <c r="Z16" s="30">
        <f t="shared" si="4"/>
        <v>0</v>
      </c>
      <c r="AB16" s="30">
        <f t="shared" si="5"/>
        <v>0</v>
      </c>
      <c r="AC16" s="30">
        <f t="shared" si="6"/>
        <v>0</v>
      </c>
      <c r="AD16" s="30">
        <f t="shared" si="7"/>
        <v>0</v>
      </c>
      <c r="AE16" s="30">
        <f t="shared" si="8"/>
        <v>0</v>
      </c>
      <c r="AF16" s="30">
        <f t="shared" si="9"/>
        <v>0</v>
      </c>
      <c r="AG16" s="30">
        <f t="shared" si="10"/>
        <v>0</v>
      </c>
      <c r="AH16" s="30">
        <f t="shared" si="11"/>
        <v>0</v>
      </c>
      <c r="AI16" s="22" t="s">
        <v>77</v>
      </c>
      <c r="AJ16" s="14">
        <f t="shared" si="12"/>
        <v>0</v>
      </c>
      <c r="AK16" s="14">
        <f t="shared" si="13"/>
        <v>0</v>
      </c>
      <c r="AL16" s="14">
        <f t="shared" si="14"/>
        <v>0</v>
      </c>
      <c r="AN16" s="30">
        <v>21</v>
      </c>
      <c r="AO16" s="30">
        <f>G16*0.0977245508982036</f>
        <v>0</v>
      </c>
      <c r="AP16" s="30">
        <f>G16*(1-0.0977245508982036)</f>
        <v>0</v>
      </c>
      <c r="AQ16" s="25" t="s">
        <v>6</v>
      </c>
      <c r="AV16" s="30">
        <f t="shared" si="15"/>
        <v>0</v>
      </c>
      <c r="AW16" s="30">
        <f t="shared" si="16"/>
        <v>0</v>
      </c>
      <c r="AX16" s="30">
        <f t="shared" si="17"/>
        <v>0</v>
      </c>
      <c r="AY16" s="31" t="s">
        <v>257</v>
      </c>
      <c r="AZ16" s="31" t="s">
        <v>269</v>
      </c>
      <c r="BA16" s="22" t="s">
        <v>274</v>
      </c>
      <c r="BC16" s="30">
        <f t="shared" si="18"/>
        <v>0</v>
      </c>
      <c r="BD16" s="30">
        <f t="shared" si="19"/>
        <v>0</v>
      </c>
      <c r="BE16" s="30">
        <v>0</v>
      </c>
      <c r="BF16" s="30">
        <f t="shared" si="20"/>
        <v>0.33748400000000006</v>
      </c>
      <c r="BH16" s="14">
        <f t="shared" si="21"/>
        <v>0</v>
      </c>
      <c r="BI16" s="14">
        <f t="shared" si="22"/>
        <v>0</v>
      </c>
      <c r="BJ16" s="14">
        <f t="shared" si="23"/>
        <v>0</v>
      </c>
    </row>
    <row r="17" spans="1:62" ht="12.75">
      <c r="A17" s="4" t="s">
        <v>21</v>
      </c>
      <c r="B17" s="4" t="s">
        <v>77</v>
      </c>
      <c r="C17" s="4" t="s">
        <v>102</v>
      </c>
      <c r="D17" s="79" t="s">
        <v>175</v>
      </c>
      <c r="E17" s="4" t="s">
        <v>226</v>
      </c>
      <c r="F17" s="54">
        <v>89.86</v>
      </c>
      <c r="G17" s="123">
        <v>0</v>
      </c>
      <c r="H17" s="14">
        <f t="shared" si="0"/>
        <v>0</v>
      </c>
      <c r="I17" s="14">
        <f t="shared" si="1"/>
        <v>0</v>
      </c>
      <c r="J17" s="14">
        <f t="shared" si="2"/>
        <v>0</v>
      </c>
      <c r="K17" s="14">
        <v>0.01646</v>
      </c>
      <c r="L17" s="14">
        <f t="shared" si="3"/>
        <v>1.4790956</v>
      </c>
      <c r="M17" s="25" t="s">
        <v>247</v>
      </c>
      <c r="Z17" s="30">
        <f t="shared" si="4"/>
        <v>0</v>
      </c>
      <c r="AB17" s="30">
        <f t="shared" si="5"/>
        <v>0</v>
      </c>
      <c r="AC17" s="30">
        <f t="shared" si="6"/>
        <v>0</v>
      </c>
      <c r="AD17" s="30">
        <f t="shared" si="7"/>
        <v>0</v>
      </c>
      <c r="AE17" s="30">
        <f t="shared" si="8"/>
        <v>0</v>
      </c>
      <c r="AF17" s="30">
        <f t="shared" si="9"/>
        <v>0</v>
      </c>
      <c r="AG17" s="30">
        <f t="shared" si="10"/>
        <v>0</v>
      </c>
      <c r="AH17" s="30">
        <f t="shared" si="11"/>
        <v>0</v>
      </c>
      <c r="AI17" s="22" t="s">
        <v>77</v>
      </c>
      <c r="AJ17" s="14">
        <f t="shared" si="12"/>
        <v>0</v>
      </c>
      <c r="AK17" s="14">
        <f t="shared" si="13"/>
        <v>0</v>
      </c>
      <c r="AL17" s="14">
        <f t="shared" si="14"/>
        <v>0</v>
      </c>
      <c r="AN17" s="30">
        <v>21</v>
      </c>
      <c r="AO17" s="30">
        <f>G17*0.202264699628792</f>
        <v>0</v>
      </c>
      <c r="AP17" s="30">
        <f>G17*(1-0.202264699628792)</f>
        <v>0</v>
      </c>
      <c r="AQ17" s="25" t="s">
        <v>6</v>
      </c>
      <c r="AV17" s="30">
        <f t="shared" si="15"/>
        <v>0</v>
      </c>
      <c r="AW17" s="30">
        <f t="shared" si="16"/>
        <v>0</v>
      </c>
      <c r="AX17" s="30">
        <f t="shared" si="17"/>
        <v>0</v>
      </c>
      <c r="AY17" s="31" t="s">
        <v>257</v>
      </c>
      <c r="AZ17" s="31" t="s">
        <v>269</v>
      </c>
      <c r="BA17" s="22" t="s">
        <v>274</v>
      </c>
      <c r="BC17" s="30">
        <f t="shared" si="18"/>
        <v>0</v>
      </c>
      <c r="BD17" s="30">
        <f t="shared" si="19"/>
        <v>0</v>
      </c>
      <c r="BE17" s="30">
        <v>0</v>
      </c>
      <c r="BF17" s="30">
        <f t="shared" si="20"/>
        <v>1.4790956</v>
      </c>
      <c r="BH17" s="14">
        <f t="shared" si="21"/>
        <v>0</v>
      </c>
      <c r="BI17" s="14">
        <f t="shared" si="22"/>
        <v>0</v>
      </c>
      <c r="BJ17" s="14">
        <f t="shared" si="23"/>
        <v>0</v>
      </c>
    </row>
    <row r="18" spans="1:62" ht="12.75">
      <c r="A18" s="4" t="s">
        <v>22</v>
      </c>
      <c r="B18" s="4" t="s">
        <v>77</v>
      </c>
      <c r="C18" s="4" t="s">
        <v>83</v>
      </c>
      <c r="D18" s="4" t="s">
        <v>151</v>
      </c>
      <c r="E18" s="4" t="s">
        <v>226</v>
      </c>
      <c r="F18" s="54">
        <v>44.93</v>
      </c>
      <c r="G18" s="123">
        <v>0</v>
      </c>
      <c r="H18" s="14">
        <f t="shared" si="0"/>
        <v>0</v>
      </c>
      <c r="I18" s="14">
        <f t="shared" si="1"/>
        <v>0</v>
      </c>
      <c r="J18" s="14">
        <f t="shared" si="2"/>
        <v>0</v>
      </c>
      <c r="K18" s="14">
        <v>0.03491</v>
      </c>
      <c r="L18" s="14">
        <f t="shared" si="3"/>
        <v>1.5685063</v>
      </c>
      <c r="M18" s="25" t="s">
        <v>247</v>
      </c>
      <c r="Z18" s="30">
        <f t="shared" si="4"/>
        <v>0</v>
      </c>
      <c r="AB18" s="30">
        <f t="shared" si="5"/>
        <v>0</v>
      </c>
      <c r="AC18" s="30">
        <f t="shared" si="6"/>
        <v>0</v>
      </c>
      <c r="AD18" s="30">
        <f t="shared" si="7"/>
        <v>0</v>
      </c>
      <c r="AE18" s="30">
        <f t="shared" si="8"/>
        <v>0</v>
      </c>
      <c r="AF18" s="30">
        <f t="shared" si="9"/>
        <v>0</v>
      </c>
      <c r="AG18" s="30">
        <f t="shared" si="10"/>
        <v>0</v>
      </c>
      <c r="AH18" s="30">
        <f t="shared" si="11"/>
        <v>0</v>
      </c>
      <c r="AI18" s="22" t="s">
        <v>77</v>
      </c>
      <c r="AJ18" s="14">
        <f t="shared" si="12"/>
        <v>0</v>
      </c>
      <c r="AK18" s="14">
        <f t="shared" si="13"/>
        <v>0</v>
      </c>
      <c r="AL18" s="14">
        <f t="shared" si="14"/>
        <v>0</v>
      </c>
      <c r="AN18" s="30">
        <v>21</v>
      </c>
      <c r="AO18" s="30">
        <f>G18*0.216103258780162</f>
        <v>0</v>
      </c>
      <c r="AP18" s="30">
        <f>G18*(1-0.216103258780162)</f>
        <v>0</v>
      </c>
      <c r="AQ18" s="25" t="s">
        <v>6</v>
      </c>
      <c r="AV18" s="30">
        <f t="shared" si="15"/>
        <v>0</v>
      </c>
      <c r="AW18" s="30">
        <f t="shared" si="16"/>
        <v>0</v>
      </c>
      <c r="AX18" s="30">
        <f t="shared" si="17"/>
        <v>0</v>
      </c>
      <c r="AY18" s="31" t="s">
        <v>257</v>
      </c>
      <c r="AZ18" s="31" t="s">
        <v>269</v>
      </c>
      <c r="BA18" s="22" t="s">
        <v>274</v>
      </c>
      <c r="BC18" s="30">
        <f t="shared" si="18"/>
        <v>0</v>
      </c>
      <c r="BD18" s="30">
        <f t="shared" si="19"/>
        <v>0</v>
      </c>
      <c r="BE18" s="30">
        <v>0</v>
      </c>
      <c r="BF18" s="30">
        <f t="shared" si="20"/>
        <v>1.5685063</v>
      </c>
      <c r="BH18" s="14">
        <f t="shared" si="21"/>
        <v>0</v>
      </c>
      <c r="BI18" s="14">
        <f t="shared" si="22"/>
        <v>0</v>
      </c>
      <c r="BJ18" s="14">
        <f t="shared" si="23"/>
        <v>0</v>
      </c>
    </row>
    <row r="19" spans="1:62" ht="12.75">
      <c r="A19" s="4" t="s">
        <v>23</v>
      </c>
      <c r="B19" s="4" t="s">
        <v>77</v>
      </c>
      <c r="C19" s="4" t="s">
        <v>84</v>
      </c>
      <c r="D19" s="65" t="s">
        <v>176</v>
      </c>
      <c r="E19" s="4" t="s">
        <v>226</v>
      </c>
      <c r="F19" s="54">
        <v>11.175</v>
      </c>
      <c r="G19" s="123">
        <v>0</v>
      </c>
      <c r="H19" s="14">
        <f t="shared" si="0"/>
        <v>0</v>
      </c>
      <c r="I19" s="14">
        <f t="shared" si="1"/>
        <v>0</v>
      </c>
      <c r="J19" s="14">
        <f t="shared" si="2"/>
        <v>0</v>
      </c>
      <c r="K19" s="14">
        <v>0.06046</v>
      </c>
      <c r="L19" s="14">
        <f t="shared" si="3"/>
        <v>0.6756405000000001</v>
      </c>
      <c r="M19" s="25" t="s">
        <v>247</v>
      </c>
      <c r="Z19" s="30">
        <f t="shared" si="4"/>
        <v>0</v>
      </c>
      <c r="AB19" s="30">
        <f t="shared" si="5"/>
        <v>0</v>
      </c>
      <c r="AC19" s="30">
        <f t="shared" si="6"/>
        <v>0</v>
      </c>
      <c r="AD19" s="30">
        <f t="shared" si="7"/>
        <v>0</v>
      </c>
      <c r="AE19" s="30">
        <f t="shared" si="8"/>
        <v>0</v>
      </c>
      <c r="AF19" s="30">
        <f t="shared" si="9"/>
        <v>0</v>
      </c>
      <c r="AG19" s="30">
        <f t="shared" si="10"/>
        <v>0</v>
      </c>
      <c r="AH19" s="30">
        <f t="shared" si="11"/>
        <v>0</v>
      </c>
      <c r="AI19" s="22" t="s">
        <v>77</v>
      </c>
      <c r="AJ19" s="14">
        <f t="shared" si="12"/>
        <v>0</v>
      </c>
      <c r="AK19" s="14">
        <f t="shared" si="13"/>
        <v>0</v>
      </c>
      <c r="AL19" s="14">
        <f t="shared" si="14"/>
        <v>0</v>
      </c>
      <c r="AN19" s="30">
        <v>21</v>
      </c>
      <c r="AO19" s="30">
        <f>G19*0.111938397948098</f>
        <v>0</v>
      </c>
      <c r="AP19" s="30">
        <f>G19*(1-0.111938397948098)</f>
        <v>0</v>
      </c>
      <c r="AQ19" s="25" t="s">
        <v>6</v>
      </c>
      <c r="AV19" s="30">
        <f t="shared" si="15"/>
        <v>0</v>
      </c>
      <c r="AW19" s="30">
        <f t="shared" si="16"/>
        <v>0</v>
      </c>
      <c r="AX19" s="30">
        <f t="shared" si="17"/>
        <v>0</v>
      </c>
      <c r="AY19" s="31" t="s">
        <v>257</v>
      </c>
      <c r="AZ19" s="31" t="s">
        <v>269</v>
      </c>
      <c r="BA19" s="22" t="s">
        <v>274</v>
      </c>
      <c r="BC19" s="30">
        <f t="shared" si="18"/>
        <v>0</v>
      </c>
      <c r="BD19" s="30">
        <f t="shared" si="19"/>
        <v>0</v>
      </c>
      <c r="BE19" s="30">
        <v>0</v>
      </c>
      <c r="BF19" s="30">
        <f t="shared" si="20"/>
        <v>0.6756405000000001</v>
      </c>
      <c r="BH19" s="14">
        <f t="shared" si="21"/>
        <v>0</v>
      </c>
      <c r="BI19" s="14">
        <f t="shared" si="22"/>
        <v>0</v>
      </c>
      <c r="BJ19" s="14">
        <f t="shared" si="23"/>
        <v>0</v>
      </c>
    </row>
    <row r="20" spans="1:47" ht="12.75">
      <c r="A20" s="3"/>
      <c r="B20" s="11" t="s">
        <v>77</v>
      </c>
      <c r="C20" s="11" t="s">
        <v>10</v>
      </c>
      <c r="D20" s="11" t="s">
        <v>152</v>
      </c>
      <c r="E20" s="3" t="s">
        <v>5</v>
      </c>
      <c r="F20" s="3" t="s">
        <v>5</v>
      </c>
      <c r="G20" s="3" t="s">
        <v>5</v>
      </c>
      <c r="H20" s="32">
        <f>SUM(H21:H22)</f>
        <v>0</v>
      </c>
      <c r="I20" s="32">
        <f>SUM(I21:I22)</f>
        <v>0</v>
      </c>
      <c r="J20" s="32">
        <f>SUM(J21:J22)</f>
        <v>0</v>
      </c>
      <c r="K20" s="22"/>
      <c r="L20" s="32">
        <f>SUM(L21:L22)</f>
        <v>0.10469</v>
      </c>
      <c r="M20" s="22"/>
      <c r="AI20" s="22" t="s">
        <v>77</v>
      </c>
      <c r="AS20" s="32">
        <f>SUM(AJ21:AJ22)</f>
        <v>0</v>
      </c>
      <c r="AT20" s="32">
        <f>SUM(AK21:AK22)</f>
        <v>0</v>
      </c>
      <c r="AU20" s="32">
        <f>SUM(AL21:AL22)</f>
        <v>0</v>
      </c>
    </row>
    <row r="21" spans="1:62" ht="12.75">
      <c r="A21" s="4" t="s">
        <v>24</v>
      </c>
      <c r="B21" s="4" t="s">
        <v>77</v>
      </c>
      <c r="C21" s="4" t="s">
        <v>85</v>
      </c>
      <c r="D21" s="4" t="s">
        <v>153</v>
      </c>
      <c r="E21" s="4" t="s">
        <v>228</v>
      </c>
      <c r="F21" s="54">
        <v>70.9</v>
      </c>
      <c r="G21" s="123">
        <v>0</v>
      </c>
      <c r="H21" s="14">
        <f>F21*AO21</f>
        <v>0</v>
      </c>
      <c r="I21" s="14">
        <f>F21*AP21</f>
        <v>0</v>
      </c>
      <c r="J21" s="14">
        <f>F21*G21</f>
        <v>0</v>
      </c>
      <c r="K21" s="14">
        <v>0</v>
      </c>
      <c r="L21" s="14">
        <f>F21*K21</f>
        <v>0</v>
      </c>
      <c r="M21" s="25" t="s">
        <v>247</v>
      </c>
      <c r="Z21" s="30">
        <f>IF(AQ21="5",BJ21,0)</f>
        <v>0</v>
      </c>
      <c r="AB21" s="30">
        <f>IF(AQ21="1",BH21,0)</f>
        <v>0</v>
      </c>
      <c r="AC21" s="30">
        <f>IF(AQ21="1",BI21,0)</f>
        <v>0</v>
      </c>
      <c r="AD21" s="30">
        <f>IF(AQ21="7",BH21,0)</f>
        <v>0</v>
      </c>
      <c r="AE21" s="30">
        <f>IF(AQ21="7",BI21,0)</f>
        <v>0</v>
      </c>
      <c r="AF21" s="30">
        <f>IF(AQ21="2",BH21,0)</f>
        <v>0</v>
      </c>
      <c r="AG21" s="30">
        <f>IF(AQ21="2",BI21,0)</f>
        <v>0</v>
      </c>
      <c r="AH21" s="30">
        <f>IF(AQ21="0",BJ21,0)</f>
        <v>0</v>
      </c>
      <c r="AI21" s="22" t="s">
        <v>77</v>
      </c>
      <c r="AJ21" s="14">
        <f>IF(AN21=0,J21,0)</f>
        <v>0</v>
      </c>
      <c r="AK21" s="14">
        <f>IF(AN21=15,J21,0)</f>
        <v>0</v>
      </c>
      <c r="AL21" s="14">
        <f>IF(AN21=21,J21,0)</f>
        <v>0</v>
      </c>
      <c r="AN21" s="30">
        <v>21</v>
      </c>
      <c r="AO21" s="30">
        <f>G21*0.153022382155404</f>
        <v>0</v>
      </c>
      <c r="AP21" s="30">
        <f>G21*(1-0.153022382155404)</f>
        <v>0</v>
      </c>
      <c r="AQ21" s="25" t="s">
        <v>6</v>
      </c>
      <c r="AV21" s="30">
        <f>AW21+AX21</f>
        <v>0</v>
      </c>
      <c r="AW21" s="30">
        <f>F21*AO21</f>
        <v>0</v>
      </c>
      <c r="AX21" s="30">
        <f>F21*AP21</f>
        <v>0</v>
      </c>
      <c r="AY21" s="31" t="s">
        <v>258</v>
      </c>
      <c r="AZ21" s="31" t="s">
        <v>269</v>
      </c>
      <c r="BA21" s="22" t="s">
        <v>274</v>
      </c>
      <c r="BC21" s="30">
        <f>AW21+AX21</f>
        <v>0</v>
      </c>
      <c r="BD21" s="30">
        <f>G21/(100-BE21)*100</f>
        <v>0</v>
      </c>
      <c r="BE21" s="30">
        <v>0</v>
      </c>
      <c r="BF21" s="30">
        <f>L21</f>
        <v>0</v>
      </c>
      <c r="BH21" s="14">
        <f>F21*AO21</f>
        <v>0</v>
      </c>
      <c r="BI21" s="14">
        <f>F21*AP21</f>
        <v>0</v>
      </c>
      <c r="BJ21" s="14">
        <f>F21*G21</f>
        <v>0</v>
      </c>
    </row>
    <row r="22" spans="1:62" ht="12.75">
      <c r="A22" s="4" t="s">
        <v>25</v>
      </c>
      <c r="B22" s="4" t="s">
        <v>77</v>
      </c>
      <c r="C22" s="4" t="s">
        <v>86</v>
      </c>
      <c r="D22" s="4" t="s">
        <v>177</v>
      </c>
      <c r="E22" s="4" t="s">
        <v>228</v>
      </c>
      <c r="F22" s="54">
        <v>19</v>
      </c>
      <c r="G22" s="123">
        <v>0</v>
      </c>
      <c r="H22" s="14">
        <f>F22*AO22</f>
        <v>0</v>
      </c>
      <c r="I22" s="14">
        <f>F22*AP22</f>
        <v>0</v>
      </c>
      <c r="J22" s="14">
        <f>F22*G22</f>
        <v>0</v>
      </c>
      <c r="K22" s="14">
        <v>0.00551</v>
      </c>
      <c r="L22" s="14">
        <f>F22*K22</f>
        <v>0.10469</v>
      </c>
      <c r="M22" s="25" t="s">
        <v>247</v>
      </c>
      <c r="Z22" s="30">
        <f>IF(AQ22="5",BJ22,0)</f>
        <v>0</v>
      </c>
      <c r="AB22" s="30">
        <f>IF(AQ22="1",BH22,0)</f>
        <v>0</v>
      </c>
      <c r="AC22" s="30">
        <f>IF(AQ22="1",BI22,0)</f>
        <v>0</v>
      </c>
      <c r="AD22" s="30">
        <f>IF(AQ22="7",BH22,0)</f>
        <v>0</v>
      </c>
      <c r="AE22" s="30">
        <f>IF(AQ22="7",BI22,0)</f>
        <v>0</v>
      </c>
      <c r="AF22" s="30">
        <f>IF(AQ22="2",BH22,0)</f>
        <v>0</v>
      </c>
      <c r="AG22" s="30">
        <f>IF(AQ22="2",BI22,0)</f>
        <v>0</v>
      </c>
      <c r="AH22" s="30">
        <f>IF(AQ22="0",BJ22,0)</f>
        <v>0</v>
      </c>
      <c r="AI22" s="22" t="s">
        <v>77</v>
      </c>
      <c r="AJ22" s="14">
        <f>IF(AN22=0,J22,0)</f>
        <v>0</v>
      </c>
      <c r="AK22" s="14">
        <f>IF(AN22=15,J22,0)</f>
        <v>0</v>
      </c>
      <c r="AL22" s="14">
        <f>IF(AN22=21,J22,0)</f>
        <v>0</v>
      </c>
      <c r="AN22" s="30">
        <v>21</v>
      </c>
      <c r="AO22" s="30">
        <f>G22*0.519281418484328</f>
        <v>0</v>
      </c>
      <c r="AP22" s="30">
        <f>G22*(1-0.519281418484328)</f>
        <v>0</v>
      </c>
      <c r="AQ22" s="25" t="s">
        <v>6</v>
      </c>
      <c r="AV22" s="30">
        <f>AW22+AX22</f>
        <v>0</v>
      </c>
      <c r="AW22" s="30">
        <f>F22*AO22</f>
        <v>0</v>
      </c>
      <c r="AX22" s="30">
        <f>F22*AP22</f>
        <v>0</v>
      </c>
      <c r="AY22" s="31" t="s">
        <v>258</v>
      </c>
      <c r="AZ22" s="31" t="s">
        <v>269</v>
      </c>
      <c r="BA22" s="22" t="s">
        <v>274</v>
      </c>
      <c r="BC22" s="30">
        <f>AW22+AX22</f>
        <v>0</v>
      </c>
      <c r="BD22" s="30">
        <f>G22/(100-BE22)*100</f>
        <v>0</v>
      </c>
      <c r="BE22" s="30">
        <v>0</v>
      </c>
      <c r="BF22" s="30">
        <f>L22</f>
        <v>0.10469</v>
      </c>
      <c r="BH22" s="14">
        <f>F22*AO22</f>
        <v>0</v>
      </c>
      <c r="BI22" s="14">
        <f>F22*AP22</f>
        <v>0</v>
      </c>
      <c r="BJ22" s="14">
        <f>F22*G22</f>
        <v>0</v>
      </c>
    </row>
    <row r="23" spans="1:47" ht="12.75">
      <c r="A23" s="3"/>
      <c r="B23" s="11" t="s">
        <v>77</v>
      </c>
      <c r="C23" s="11" t="s">
        <v>11</v>
      </c>
      <c r="D23" s="11" t="s">
        <v>154</v>
      </c>
      <c r="E23" s="3" t="s">
        <v>5</v>
      </c>
      <c r="F23" s="3" t="s">
        <v>5</v>
      </c>
      <c r="G23" s="3"/>
      <c r="H23" s="32">
        <f>SUM(H24:H26)</f>
        <v>0</v>
      </c>
      <c r="I23" s="32">
        <f>SUM(I24:I26)</f>
        <v>0</v>
      </c>
      <c r="J23" s="32">
        <f>SUM(J24:J26)</f>
        <v>0</v>
      </c>
      <c r="K23" s="22"/>
      <c r="L23" s="32">
        <f>SUM(L24:L26)</f>
        <v>0.5931411</v>
      </c>
      <c r="M23" s="22"/>
      <c r="AI23" s="22" t="s">
        <v>77</v>
      </c>
      <c r="AS23" s="32">
        <f>SUM(AJ24:AJ26)</f>
        <v>0</v>
      </c>
      <c r="AT23" s="32">
        <f>SUM(AK24:AK26)</f>
        <v>0</v>
      </c>
      <c r="AU23" s="32">
        <f>SUM(AL24:AL26)</f>
        <v>0</v>
      </c>
    </row>
    <row r="24" spans="1:62" ht="12.75">
      <c r="A24" s="4" t="s">
        <v>26</v>
      </c>
      <c r="B24" s="4" t="s">
        <v>77</v>
      </c>
      <c r="C24" s="4" t="s">
        <v>87</v>
      </c>
      <c r="D24" s="4" t="s">
        <v>155</v>
      </c>
      <c r="E24" s="4" t="s">
        <v>226</v>
      </c>
      <c r="F24" s="54">
        <v>29.45</v>
      </c>
      <c r="G24" s="123">
        <v>0</v>
      </c>
      <c r="H24" s="14">
        <f aca="true" t="shared" si="24" ref="H24:H26">F24*AO24</f>
        <v>0</v>
      </c>
      <c r="I24" s="14">
        <f aca="true" t="shared" si="25" ref="I24:I26">F24*AP24</f>
        <v>0</v>
      </c>
      <c r="J24" s="14">
        <f aca="true" t="shared" si="26" ref="J24:J26">F24*G24</f>
        <v>0</v>
      </c>
      <c r="K24" s="14">
        <v>1E-05</v>
      </c>
      <c r="L24" s="14">
        <f aca="true" t="shared" si="27" ref="L24:L26">F24*K24</f>
        <v>0.0002945</v>
      </c>
      <c r="M24" s="25" t="s">
        <v>247</v>
      </c>
      <c r="Z24" s="30">
        <f aca="true" t="shared" si="28" ref="Z24:Z26">IF(AQ24="5",BJ24,0)</f>
        <v>0</v>
      </c>
      <c r="AB24" s="30">
        <f aca="true" t="shared" si="29" ref="AB24:AB26">IF(AQ24="1",BH24,0)</f>
        <v>0</v>
      </c>
      <c r="AC24" s="30">
        <f aca="true" t="shared" si="30" ref="AC24:AC26">IF(AQ24="1",BI24,0)</f>
        <v>0</v>
      </c>
      <c r="AD24" s="30">
        <f aca="true" t="shared" si="31" ref="AD24:AD26">IF(AQ24="7",BH24,0)</f>
        <v>0</v>
      </c>
      <c r="AE24" s="30">
        <f aca="true" t="shared" si="32" ref="AE24:AE26">IF(AQ24="7",BI24,0)</f>
        <v>0</v>
      </c>
      <c r="AF24" s="30">
        <f aca="true" t="shared" si="33" ref="AF24:AF26">IF(AQ24="2",BH24,0)</f>
        <v>0</v>
      </c>
      <c r="AG24" s="30">
        <f aca="true" t="shared" si="34" ref="AG24:AG26">IF(AQ24="2",BI24,0)</f>
        <v>0</v>
      </c>
      <c r="AH24" s="30">
        <f aca="true" t="shared" si="35" ref="AH24:AH26">IF(AQ24="0",BJ24,0)</f>
        <v>0</v>
      </c>
      <c r="AI24" s="22" t="s">
        <v>77</v>
      </c>
      <c r="AJ24" s="14">
        <f aca="true" t="shared" si="36" ref="AJ24:AJ26">IF(AN24=0,J24,0)</f>
        <v>0</v>
      </c>
      <c r="AK24" s="14">
        <f aca="true" t="shared" si="37" ref="AK24:AK26">IF(AN24=15,J24,0)</f>
        <v>0</v>
      </c>
      <c r="AL24" s="14">
        <f aca="true" t="shared" si="38" ref="AL24:AL26">IF(AN24=21,J24,0)</f>
        <v>0</v>
      </c>
      <c r="AN24" s="30">
        <v>21</v>
      </c>
      <c r="AO24" s="30">
        <f>G24*0.0195918572716409</f>
        <v>0</v>
      </c>
      <c r="AP24" s="30">
        <f>G24*(1-0.0195918572716409)</f>
        <v>0</v>
      </c>
      <c r="AQ24" s="25" t="s">
        <v>6</v>
      </c>
      <c r="AV24" s="30">
        <f aca="true" t="shared" si="39" ref="AV24:AV26">AW24+AX24</f>
        <v>0</v>
      </c>
      <c r="AW24" s="30">
        <f aca="true" t="shared" si="40" ref="AW24:AW26">F24*AO24</f>
        <v>0</v>
      </c>
      <c r="AX24" s="30">
        <f aca="true" t="shared" si="41" ref="AX24:AX26">F24*AP24</f>
        <v>0</v>
      </c>
      <c r="AY24" s="31" t="s">
        <v>259</v>
      </c>
      <c r="AZ24" s="31" t="s">
        <v>270</v>
      </c>
      <c r="BA24" s="22" t="s">
        <v>274</v>
      </c>
      <c r="BC24" s="30">
        <f aca="true" t="shared" si="42" ref="BC24:BC26">AW24+AX24</f>
        <v>0</v>
      </c>
      <c r="BD24" s="30">
        <f aca="true" t="shared" si="43" ref="BD24:BD26">G24/(100-BE24)*100</f>
        <v>0</v>
      </c>
      <c r="BE24" s="30">
        <v>0</v>
      </c>
      <c r="BF24" s="30">
        <f aca="true" t="shared" si="44" ref="BF24:BF26">L24</f>
        <v>0.0002945</v>
      </c>
      <c r="BH24" s="14">
        <f aca="true" t="shared" si="45" ref="BH24:BH26">F24*AO24</f>
        <v>0</v>
      </c>
      <c r="BI24" s="14">
        <f aca="true" t="shared" si="46" ref="BI24:BI26">F24*AP24</f>
        <v>0</v>
      </c>
      <c r="BJ24" s="14">
        <f aca="true" t="shared" si="47" ref="BJ24:BJ26">F24*G24</f>
        <v>0</v>
      </c>
    </row>
    <row r="25" spans="1:62" ht="12.75">
      <c r="A25" s="65" t="s">
        <v>27</v>
      </c>
      <c r="B25" s="65" t="s">
        <v>77</v>
      </c>
      <c r="C25" s="65" t="s">
        <v>88</v>
      </c>
      <c r="D25" s="65" t="s">
        <v>156</v>
      </c>
      <c r="E25" s="65" t="s">
        <v>226</v>
      </c>
      <c r="F25" s="54">
        <v>282.42</v>
      </c>
      <c r="G25" s="123">
        <v>0</v>
      </c>
      <c r="H25" s="66">
        <f t="shared" si="24"/>
        <v>0</v>
      </c>
      <c r="I25" s="66">
        <f t="shared" si="25"/>
        <v>0</v>
      </c>
      <c r="J25" s="66">
        <f t="shared" si="26"/>
        <v>0</v>
      </c>
      <c r="K25" s="66">
        <v>4E-05</v>
      </c>
      <c r="L25" s="66">
        <f t="shared" si="27"/>
        <v>0.011296800000000001</v>
      </c>
      <c r="M25" s="67" t="s">
        <v>247</v>
      </c>
      <c r="Z25" s="30">
        <f t="shared" si="28"/>
        <v>0</v>
      </c>
      <c r="AB25" s="30">
        <f t="shared" si="29"/>
        <v>0</v>
      </c>
      <c r="AC25" s="30">
        <f t="shared" si="30"/>
        <v>0</v>
      </c>
      <c r="AD25" s="30">
        <f t="shared" si="31"/>
        <v>0</v>
      </c>
      <c r="AE25" s="30">
        <f t="shared" si="32"/>
        <v>0</v>
      </c>
      <c r="AF25" s="30">
        <f t="shared" si="33"/>
        <v>0</v>
      </c>
      <c r="AG25" s="30">
        <f t="shared" si="34"/>
        <v>0</v>
      </c>
      <c r="AH25" s="30">
        <f t="shared" si="35"/>
        <v>0</v>
      </c>
      <c r="AI25" s="22" t="s">
        <v>77</v>
      </c>
      <c r="AJ25" s="14">
        <f t="shared" si="36"/>
        <v>0</v>
      </c>
      <c r="AK25" s="14">
        <f t="shared" si="37"/>
        <v>0</v>
      </c>
      <c r="AL25" s="14">
        <f t="shared" si="38"/>
        <v>0</v>
      </c>
      <c r="AN25" s="30">
        <v>21</v>
      </c>
      <c r="AO25" s="30">
        <f>G25*0.0123809523809524</f>
        <v>0</v>
      </c>
      <c r="AP25" s="30">
        <f>G25*(1-0.0123809523809524)</f>
        <v>0</v>
      </c>
      <c r="AQ25" s="25" t="s">
        <v>6</v>
      </c>
      <c r="AV25" s="30">
        <f t="shared" si="39"/>
        <v>0</v>
      </c>
      <c r="AW25" s="30">
        <f t="shared" si="40"/>
        <v>0</v>
      </c>
      <c r="AX25" s="30">
        <f t="shared" si="41"/>
        <v>0</v>
      </c>
      <c r="AY25" s="31" t="s">
        <v>259</v>
      </c>
      <c r="AZ25" s="31" t="s">
        <v>270</v>
      </c>
      <c r="BA25" s="22" t="s">
        <v>274</v>
      </c>
      <c r="BC25" s="30">
        <f t="shared" si="42"/>
        <v>0</v>
      </c>
      <c r="BD25" s="30">
        <f t="shared" si="43"/>
        <v>0</v>
      </c>
      <c r="BE25" s="30">
        <v>0</v>
      </c>
      <c r="BF25" s="30">
        <f t="shared" si="44"/>
        <v>0.011296800000000001</v>
      </c>
      <c r="BH25" s="14">
        <f t="shared" si="45"/>
        <v>0</v>
      </c>
      <c r="BI25" s="14">
        <f t="shared" si="46"/>
        <v>0</v>
      </c>
      <c r="BJ25" s="14">
        <f t="shared" si="47"/>
        <v>0</v>
      </c>
    </row>
    <row r="26" spans="1:62" ht="12.75">
      <c r="A26" s="4" t="s">
        <v>28</v>
      </c>
      <c r="B26" s="4" t="s">
        <v>77</v>
      </c>
      <c r="C26" s="4" t="s">
        <v>103</v>
      </c>
      <c r="D26" s="4" t="s">
        <v>178</v>
      </c>
      <c r="E26" s="4" t="s">
        <v>226</v>
      </c>
      <c r="F26" s="54">
        <v>47.59</v>
      </c>
      <c r="G26" s="123">
        <v>0</v>
      </c>
      <c r="H26" s="14">
        <f t="shared" si="24"/>
        <v>0</v>
      </c>
      <c r="I26" s="14">
        <f t="shared" si="25"/>
        <v>0</v>
      </c>
      <c r="J26" s="14">
        <f t="shared" si="26"/>
        <v>0</v>
      </c>
      <c r="K26" s="14">
        <v>0.01222</v>
      </c>
      <c r="L26" s="14">
        <f t="shared" si="27"/>
        <v>0.5815498</v>
      </c>
      <c r="M26" s="25" t="s">
        <v>247</v>
      </c>
      <c r="Z26" s="30">
        <f t="shared" si="28"/>
        <v>0</v>
      </c>
      <c r="AB26" s="30">
        <f t="shared" si="29"/>
        <v>0</v>
      </c>
      <c r="AC26" s="30">
        <f t="shared" si="30"/>
        <v>0</v>
      </c>
      <c r="AD26" s="30">
        <f t="shared" si="31"/>
        <v>0</v>
      </c>
      <c r="AE26" s="30">
        <f t="shared" si="32"/>
        <v>0</v>
      </c>
      <c r="AF26" s="30">
        <f t="shared" si="33"/>
        <v>0</v>
      </c>
      <c r="AG26" s="30">
        <f t="shared" si="34"/>
        <v>0</v>
      </c>
      <c r="AH26" s="30">
        <f t="shared" si="35"/>
        <v>0</v>
      </c>
      <c r="AI26" s="22" t="s">
        <v>77</v>
      </c>
      <c r="AJ26" s="14">
        <f t="shared" si="36"/>
        <v>0</v>
      </c>
      <c r="AK26" s="14">
        <f t="shared" si="37"/>
        <v>0</v>
      </c>
      <c r="AL26" s="14">
        <f t="shared" si="38"/>
        <v>0</v>
      </c>
      <c r="AN26" s="30">
        <v>21</v>
      </c>
      <c r="AO26" s="30">
        <f>G26*0.568055555555556</f>
        <v>0</v>
      </c>
      <c r="AP26" s="30">
        <f>G26*(1-0.568055555555556)</f>
        <v>0</v>
      </c>
      <c r="AQ26" s="25" t="s">
        <v>6</v>
      </c>
      <c r="AV26" s="30">
        <f t="shared" si="39"/>
        <v>0</v>
      </c>
      <c r="AW26" s="30">
        <f t="shared" si="40"/>
        <v>0</v>
      </c>
      <c r="AX26" s="30">
        <f t="shared" si="41"/>
        <v>0</v>
      </c>
      <c r="AY26" s="31" t="s">
        <v>259</v>
      </c>
      <c r="AZ26" s="31" t="s">
        <v>270</v>
      </c>
      <c r="BA26" s="22" t="s">
        <v>274</v>
      </c>
      <c r="BC26" s="30">
        <f t="shared" si="42"/>
        <v>0</v>
      </c>
      <c r="BD26" s="30">
        <f t="shared" si="43"/>
        <v>0</v>
      </c>
      <c r="BE26" s="30">
        <v>0</v>
      </c>
      <c r="BF26" s="30">
        <f t="shared" si="44"/>
        <v>0.5815498</v>
      </c>
      <c r="BH26" s="14">
        <f t="shared" si="45"/>
        <v>0</v>
      </c>
      <c r="BI26" s="14">
        <f t="shared" si="46"/>
        <v>0</v>
      </c>
      <c r="BJ26" s="14">
        <f t="shared" si="47"/>
        <v>0</v>
      </c>
    </row>
    <row r="27" spans="1:47" ht="12.75">
      <c r="A27" s="3"/>
      <c r="B27" s="11" t="s">
        <v>77</v>
      </c>
      <c r="C27" s="11" t="s">
        <v>12</v>
      </c>
      <c r="D27" s="11" t="s">
        <v>179</v>
      </c>
      <c r="E27" s="3" t="s">
        <v>5</v>
      </c>
      <c r="F27" s="3" t="s">
        <v>5</v>
      </c>
      <c r="G27" s="3" t="s">
        <v>5</v>
      </c>
      <c r="H27" s="32">
        <f>SUM(H31:H35)</f>
        <v>0</v>
      </c>
      <c r="I27" s="32">
        <f>SUM(I31:I35)</f>
        <v>0</v>
      </c>
      <c r="J27" s="32">
        <f>SUM(J28:J35)</f>
        <v>0</v>
      </c>
      <c r="K27" s="22"/>
      <c r="L27" s="32">
        <f>SUM(L31:L35)</f>
        <v>3.1316534999999996</v>
      </c>
      <c r="M27" s="22"/>
      <c r="AI27" s="22" t="s">
        <v>77</v>
      </c>
      <c r="AS27" s="32">
        <f>SUM(AJ31:AJ35)</f>
        <v>0</v>
      </c>
      <c r="AT27" s="32">
        <f>SUM(AK31:AK35)</f>
        <v>0</v>
      </c>
      <c r="AU27" s="32">
        <f>SUM(AL31:AL35)</f>
        <v>0</v>
      </c>
    </row>
    <row r="28" spans="1:47" ht="12.75">
      <c r="A28" s="62" t="s">
        <v>334</v>
      </c>
      <c r="B28" s="61" t="s">
        <v>77</v>
      </c>
      <c r="C28" s="61" t="s">
        <v>104</v>
      </c>
      <c r="D28" s="74" t="s">
        <v>180</v>
      </c>
      <c r="E28" s="61" t="s">
        <v>226</v>
      </c>
      <c r="F28" s="100">
        <v>3.003</v>
      </c>
      <c r="G28" s="124">
        <v>0</v>
      </c>
      <c r="H28" s="14" t="e">
        <f>E28*AO28</f>
        <v>#VALUE!</v>
      </c>
      <c r="I28" s="14" t="e">
        <f>E28*AP28</f>
        <v>#VALUE!</v>
      </c>
      <c r="J28" s="14">
        <f aca="true" t="shared" si="48" ref="J28:J30">F28*G28</f>
        <v>0</v>
      </c>
      <c r="K28" s="14">
        <v>0</v>
      </c>
      <c r="L28" s="14">
        <f>F28*K28</f>
        <v>0</v>
      </c>
      <c r="M28" s="25" t="s">
        <v>247</v>
      </c>
      <c r="AI28" s="22"/>
      <c r="AS28" s="32"/>
      <c r="AT28" s="32"/>
      <c r="AU28" s="32"/>
    </row>
    <row r="29" spans="1:47" ht="12.75">
      <c r="A29" s="62" t="s">
        <v>335</v>
      </c>
      <c r="B29" s="62" t="s">
        <v>77</v>
      </c>
      <c r="C29" s="61" t="s">
        <v>105</v>
      </c>
      <c r="D29" s="75" t="s">
        <v>181</v>
      </c>
      <c r="E29" s="76" t="s">
        <v>226</v>
      </c>
      <c r="F29" s="100">
        <v>6.278</v>
      </c>
      <c r="G29" s="124">
        <v>0</v>
      </c>
      <c r="H29" s="14"/>
      <c r="I29" s="14"/>
      <c r="J29" s="14">
        <f t="shared" si="48"/>
        <v>0</v>
      </c>
      <c r="K29" s="14"/>
      <c r="L29" s="14">
        <f>F29*K29</f>
        <v>0</v>
      </c>
      <c r="M29" s="25" t="s">
        <v>247</v>
      </c>
      <c r="AI29" s="22"/>
      <c r="AS29" s="32"/>
      <c r="AT29" s="32"/>
      <c r="AU29" s="32"/>
    </row>
    <row r="30" spans="1:47" ht="12.75">
      <c r="A30" s="62" t="s">
        <v>336</v>
      </c>
      <c r="B30" s="61" t="s">
        <v>77</v>
      </c>
      <c r="C30" s="61" t="s">
        <v>106</v>
      </c>
      <c r="D30" s="75" t="s">
        <v>182</v>
      </c>
      <c r="E30" s="76" t="s">
        <v>226</v>
      </c>
      <c r="F30" s="54">
        <v>3.716</v>
      </c>
      <c r="G30" s="124">
        <v>0</v>
      </c>
      <c r="H30" s="14">
        <f aca="true" t="shared" si="49" ref="H30">F30*AO30</f>
        <v>0</v>
      </c>
      <c r="I30" s="14">
        <f aca="true" t="shared" si="50" ref="I30">F30*AP30</f>
        <v>0</v>
      </c>
      <c r="J30" s="14">
        <f t="shared" si="48"/>
        <v>0</v>
      </c>
      <c r="K30" s="14">
        <v>0.07719</v>
      </c>
      <c r="L30" s="14">
        <f aca="true" t="shared" si="51" ref="L30">F30*K30</f>
        <v>0.28683804</v>
      </c>
      <c r="M30" s="25" t="s">
        <v>247</v>
      </c>
      <c r="AI30" s="22"/>
      <c r="AS30" s="32"/>
      <c r="AT30" s="32"/>
      <c r="AU30" s="32"/>
    </row>
    <row r="31" spans="1:62" ht="12.75">
      <c r="A31" s="4" t="s">
        <v>29</v>
      </c>
      <c r="B31" s="4" t="s">
        <v>77</v>
      </c>
      <c r="C31" s="4" t="s">
        <v>107</v>
      </c>
      <c r="D31" s="4" t="s">
        <v>183</v>
      </c>
      <c r="E31" s="4" t="s">
        <v>227</v>
      </c>
      <c r="F31" s="54">
        <v>87</v>
      </c>
      <c r="G31" s="123">
        <v>0</v>
      </c>
      <c r="H31" s="14">
        <f aca="true" t="shared" si="52" ref="H31">F31*AO31</f>
        <v>0</v>
      </c>
      <c r="I31" s="14">
        <f aca="true" t="shared" si="53" ref="I31">F31*AP31</f>
        <v>0</v>
      </c>
      <c r="J31" s="14">
        <f aca="true" t="shared" si="54" ref="J31">F31*G31</f>
        <v>0</v>
      </c>
      <c r="K31" s="14">
        <v>0</v>
      </c>
      <c r="L31" s="14">
        <f aca="true" t="shared" si="55" ref="L31">F31*K31</f>
        <v>0</v>
      </c>
      <c r="M31" s="25" t="s">
        <v>247</v>
      </c>
      <c r="N31" s="78"/>
      <c r="Z31" s="30">
        <f aca="true" t="shared" si="56" ref="Z31">IF(AQ31="5",BJ31,0)</f>
        <v>0</v>
      </c>
      <c r="AB31" s="30">
        <f aca="true" t="shared" si="57" ref="AB31">IF(AQ31="1",BH31,0)</f>
        <v>0</v>
      </c>
      <c r="AC31" s="30">
        <f aca="true" t="shared" si="58" ref="AC31">IF(AQ31="1",BI31,0)</f>
        <v>0</v>
      </c>
      <c r="AD31" s="30">
        <f aca="true" t="shared" si="59" ref="AD31">IF(AQ31="7",BH31,0)</f>
        <v>0</v>
      </c>
      <c r="AE31" s="30">
        <f aca="true" t="shared" si="60" ref="AE31">IF(AQ31="7",BI31,0)</f>
        <v>0</v>
      </c>
      <c r="AF31" s="30">
        <f aca="true" t="shared" si="61" ref="AF31">IF(AQ31="2",BH31,0)</f>
        <v>0</v>
      </c>
      <c r="AG31" s="30">
        <f aca="true" t="shared" si="62" ref="AG31">IF(AQ31="2",BI31,0)</f>
        <v>0</v>
      </c>
      <c r="AH31" s="30">
        <f aca="true" t="shared" si="63" ref="AH31">IF(AQ31="0",BJ31,0)</f>
        <v>0</v>
      </c>
      <c r="AI31" s="22" t="s">
        <v>77</v>
      </c>
      <c r="AJ31" s="14">
        <f aca="true" t="shared" si="64" ref="AJ31">IF(AN31=0,J31,0)</f>
        <v>0</v>
      </c>
      <c r="AK31" s="14">
        <f aca="true" t="shared" si="65" ref="AK31">IF(AN31=15,J31,0)</f>
        <v>0</v>
      </c>
      <c r="AL31" s="14">
        <f aca="true" t="shared" si="66" ref="AL31">IF(AN31=21,J31,0)</f>
        <v>0</v>
      </c>
      <c r="AN31" s="30">
        <v>21</v>
      </c>
      <c r="AO31" s="30">
        <f>G31*0</f>
        <v>0</v>
      </c>
      <c r="AP31" s="30">
        <f>G31*(1-0)</f>
        <v>0</v>
      </c>
      <c r="AQ31" s="25" t="s">
        <v>6</v>
      </c>
      <c r="AV31" s="30">
        <f aca="true" t="shared" si="67" ref="AV31">AW31+AX31</f>
        <v>0</v>
      </c>
      <c r="AW31" s="30">
        <f aca="true" t="shared" si="68" ref="AW31">F31*AO31</f>
        <v>0</v>
      </c>
      <c r="AX31" s="30">
        <f aca="true" t="shared" si="69" ref="AX31">F31*AP31</f>
        <v>0</v>
      </c>
      <c r="AY31" s="31" t="s">
        <v>265</v>
      </c>
      <c r="AZ31" s="31" t="s">
        <v>270</v>
      </c>
      <c r="BA31" s="22" t="s">
        <v>274</v>
      </c>
      <c r="BC31" s="30">
        <f aca="true" t="shared" si="70" ref="BC31">AW31+AX31</f>
        <v>0</v>
      </c>
      <c r="BD31" s="30">
        <f aca="true" t="shared" si="71" ref="BD31">G31/(100-BE31)*100</f>
        <v>0</v>
      </c>
      <c r="BE31" s="30">
        <v>0</v>
      </c>
      <c r="BF31" s="30">
        <f aca="true" t="shared" si="72" ref="BF31">L31</f>
        <v>0</v>
      </c>
      <c r="BH31" s="14">
        <f aca="true" t="shared" si="73" ref="BH31">F31*AO31</f>
        <v>0</v>
      </c>
      <c r="BI31" s="14">
        <f aca="true" t="shared" si="74" ref="BI31">F31*AP31</f>
        <v>0</v>
      </c>
      <c r="BJ31" s="14">
        <f aca="true" t="shared" si="75" ref="BJ31">F31*G31</f>
        <v>0</v>
      </c>
    </row>
    <row r="32" spans="1:62" ht="12.75">
      <c r="A32" s="4" t="s">
        <v>30</v>
      </c>
      <c r="B32" s="4" t="s">
        <v>77</v>
      </c>
      <c r="C32" s="4" t="s">
        <v>108</v>
      </c>
      <c r="D32" s="4" t="s">
        <v>184</v>
      </c>
      <c r="E32" s="4" t="s">
        <v>226</v>
      </c>
      <c r="F32" s="54">
        <v>1.2</v>
      </c>
      <c r="G32" s="123">
        <v>0</v>
      </c>
      <c r="H32" s="14">
        <f aca="true" t="shared" si="76" ref="H32:H35">F32*AO32</f>
        <v>0</v>
      </c>
      <c r="I32" s="14">
        <f aca="true" t="shared" si="77" ref="I32:I35">F32*AP32</f>
        <v>0</v>
      </c>
      <c r="J32" s="14">
        <f aca="true" t="shared" si="78" ref="J32:J35">F32*G32</f>
        <v>0</v>
      </c>
      <c r="K32" s="14">
        <v>0.07719</v>
      </c>
      <c r="L32" s="14">
        <f aca="true" t="shared" si="79" ref="L32:L35">F32*K32</f>
        <v>0.09262799999999999</v>
      </c>
      <c r="M32" s="25" t="s">
        <v>247</v>
      </c>
      <c r="Z32" s="30">
        <f aca="true" t="shared" si="80" ref="Z32:Z35">IF(AQ32="5",BJ32,0)</f>
        <v>0</v>
      </c>
      <c r="AB32" s="30">
        <f aca="true" t="shared" si="81" ref="AB32:AB35">IF(AQ32="1",BH32,0)</f>
        <v>0</v>
      </c>
      <c r="AC32" s="30">
        <f aca="true" t="shared" si="82" ref="AC32:AC35">IF(AQ32="1",BI32,0)</f>
        <v>0</v>
      </c>
      <c r="AD32" s="30">
        <f aca="true" t="shared" si="83" ref="AD32:AD35">IF(AQ32="7",BH32,0)</f>
        <v>0</v>
      </c>
      <c r="AE32" s="30">
        <f aca="true" t="shared" si="84" ref="AE32:AE35">IF(AQ32="7",BI32,0)</f>
        <v>0</v>
      </c>
      <c r="AF32" s="30">
        <f aca="true" t="shared" si="85" ref="AF32:AF35">IF(AQ32="2",BH32,0)</f>
        <v>0</v>
      </c>
      <c r="AG32" s="30">
        <f aca="true" t="shared" si="86" ref="AG32:AG35">IF(AQ32="2",BI32,0)</f>
        <v>0</v>
      </c>
      <c r="AH32" s="30">
        <f aca="true" t="shared" si="87" ref="AH32:AH35">IF(AQ32="0",BJ32,0)</f>
        <v>0</v>
      </c>
      <c r="AI32" s="22" t="s">
        <v>77</v>
      </c>
      <c r="AJ32" s="14">
        <f aca="true" t="shared" si="88" ref="AJ32:AJ35">IF(AN32=0,J32,0)</f>
        <v>0</v>
      </c>
      <c r="AK32" s="14">
        <f aca="true" t="shared" si="89" ref="AK32:AK35">IF(AN32=15,J32,0)</f>
        <v>0</v>
      </c>
      <c r="AL32" s="14">
        <f aca="true" t="shared" si="90" ref="AL32:AL35">IF(AN32=21,J32,0)</f>
        <v>0</v>
      </c>
      <c r="AN32" s="30">
        <v>21</v>
      </c>
      <c r="AO32" s="30">
        <f>G32*0.129689644358025</f>
        <v>0</v>
      </c>
      <c r="AP32" s="30">
        <f>G32*(1-0.129689644358025)</f>
        <v>0</v>
      </c>
      <c r="AQ32" s="25" t="s">
        <v>6</v>
      </c>
      <c r="AV32" s="30">
        <f aca="true" t="shared" si="91" ref="AV32:AV35">AW32+AX32</f>
        <v>0</v>
      </c>
      <c r="AW32" s="30">
        <f aca="true" t="shared" si="92" ref="AW32:AW35">F32*AO32</f>
        <v>0</v>
      </c>
      <c r="AX32" s="30">
        <f aca="true" t="shared" si="93" ref="AX32:AX35">F32*AP32</f>
        <v>0</v>
      </c>
      <c r="AY32" s="31" t="s">
        <v>265</v>
      </c>
      <c r="AZ32" s="31" t="s">
        <v>270</v>
      </c>
      <c r="BA32" s="22" t="s">
        <v>274</v>
      </c>
      <c r="BC32" s="30">
        <f aca="true" t="shared" si="94" ref="BC32:BC35">AW32+AX32</f>
        <v>0</v>
      </c>
      <c r="BD32" s="30">
        <f aca="true" t="shared" si="95" ref="BD32:BD35">G32/(100-BE32)*100</f>
        <v>0</v>
      </c>
      <c r="BE32" s="30">
        <v>0</v>
      </c>
      <c r="BF32" s="30">
        <f aca="true" t="shared" si="96" ref="BF32:BF35">L32</f>
        <v>0.09262799999999999</v>
      </c>
      <c r="BH32" s="14">
        <f aca="true" t="shared" si="97" ref="BH32:BH35">F32*AO32</f>
        <v>0</v>
      </c>
      <c r="BI32" s="14">
        <f aca="true" t="shared" si="98" ref="BI32:BI35">F32*AP32</f>
        <v>0</v>
      </c>
      <c r="BJ32" s="14">
        <f aca="true" t="shared" si="99" ref="BJ32:BJ35">F32*G32</f>
        <v>0</v>
      </c>
    </row>
    <row r="33" spans="1:62" ht="12.75">
      <c r="A33" s="4" t="s">
        <v>31</v>
      </c>
      <c r="B33" s="4" t="s">
        <v>77</v>
      </c>
      <c r="C33" s="4" t="s">
        <v>109</v>
      </c>
      <c r="D33" s="4" t="s">
        <v>185</v>
      </c>
      <c r="E33" s="4" t="s">
        <v>226</v>
      </c>
      <c r="F33" s="54">
        <v>7.5</v>
      </c>
      <c r="G33" s="123">
        <v>0</v>
      </c>
      <c r="H33" s="14">
        <f t="shared" si="76"/>
        <v>0</v>
      </c>
      <c r="I33" s="14">
        <f t="shared" si="77"/>
        <v>0</v>
      </c>
      <c r="J33" s="14">
        <f t="shared" si="78"/>
        <v>0</v>
      </c>
      <c r="K33" s="14">
        <v>0.063</v>
      </c>
      <c r="L33" s="14">
        <f t="shared" si="79"/>
        <v>0.47250000000000003</v>
      </c>
      <c r="M33" s="25" t="s">
        <v>247</v>
      </c>
      <c r="Z33" s="30">
        <f t="shared" si="80"/>
        <v>0</v>
      </c>
      <c r="AB33" s="30">
        <f t="shared" si="81"/>
        <v>0</v>
      </c>
      <c r="AC33" s="30">
        <f t="shared" si="82"/>
        <v>0</v>
      </c>
      <c r="AD33" s="30">
        <f t="shared" si="83"/>
        <v>0</v>
      </c>
      <c r="AE33" s="30">
        <f t="shared" si="84"/>
        <v>0</v>
      </c>
      <c r="AF33" s="30">
        <f t="shared" si="85"/>
        <v>0</v>
      </c>
      <c r="AG33" s="30">
        <f t="shared" si="86"/>
        <v>0</v>
      </c>
      <c r="AH33" s="30">
        <f t="shared" si="87"/>
        <v>0</v>
      </c>
      <c r="AI33" s="22" t="s">
        <v>77</v>
      </c>
      <c r="AJ33" s="14">
        <f t="shared" si="88"/>
        <v>0</v>
      </c>
      <c r="AK33" s="14">
        <f t="shared" si="89"/>
        <v>0</v>
      </c>
      <c r="AL33" s="14">
        <f t="shared" si="90"/>
        <v>0</v>
      </c>
      <c r="AN33" s="30">
        <v>21</v>
      </c>
      <c r="AO33" s="30">
        <f>G33*0.0965923573549732</f>
        <v>0</v>
      </c>
      <c r="AP33" s="30">
        <f>G33*(1-0.0965923573549732)</f>
        <v>0</v>
      </c>
      <c r="AQ33" s="25" t="s">
        <v>6</v>
      </c>
      <c r="AV33" s="30">
        <f t="shared" si="91"/>
        <v>0</v>
      </c>
      <c r="AW33" s="30">
        <f t="shared" si="92"/>
        <v>0</v>
      </c>
      <c r="AX33" s="30">
        <f t="shared" si="93"/>
        <v>0</v>
      </c>
      <c r="AY33" s="31" t="s">
        <v>265</v>
      </c>
      <c r="AZ33" s="31" t="s">
        <v>270</v>
      </c>
      <c r="BA33" s="22" t="s">
        <v>274</v>
      </c>
      <c r="BC33" s="30">
        <f t="shared" si="94"/>
        <v>0</v>
      </c>
      <c r="BD33" s="30">
        <f t="shared" si="95"/>
        <v>0</v>
      </c>
      <c r="BE33" s="30">
        <v>0</v>
      </c>
      <c r="BF33" s="30">
        <f t="shared" si="96"/>
        <v>0.47250000000000003</v>
      </c>
      <c r="BH33" s="14">
        <f t="shared" si="97"/>
        <v>0</v>
      </c>
      <c r="BI33" s="14">
        <f t="shared" si="98"/>
        <v>0</v>
      </c>
      <c r="BJ33" s="14">
        <f t="shared" si="99"/>
        <v>0</v>
      </c>
    </row>
    <row r="34" spans="1:62" ht="12.75">
      <c r="A34" s="4" t="s">
        <v>32</v>
      </c>
      <c r="B34" s="4" t="s">
        <v>77</v>
      </c>
      <c r="C34" s="4" t="s">
        <v>110</v>
      </c>
      <c r="D34" s="4" t="s">
        <v>186</v>
      </c>
      <c r="E34" s="4" t="s">
        <v>226</v>
      </c>
      <c r="F34" s="54">
        <v>42</v>
      </c>
      <c r="G34" s="123">
        <v>0</v>
      </c>
      <c r="H34" s="14">
        <f t="shared" si="76"/>
        <v>0</v>
      </c>
      <c r="I34" s="14">
        <f t="shared" si="77"/>
        <v>0</v>
      </c>
      <c r="J34" s="14">
        <f t="shared" si="78"/>
        <v>0</v>
      </c>
      <c r="K34" s="14">
        <v>0.05492</v>
      </c>
      <c r="L34" s="14">
        <f t="shared" si="79"/>
        <v>2.30664</v>
      </c>
      <c r="M34" s="25" t="s">
        <v>247</v>
      </c>
      <c r="Z34" s="30">
        <f t="shared" si="80"/>
        <v>0</v>
      </c>
      <c r="AB34" s="30">
        <f t="shared" si="81"/>
        <v>0</v>
      </c>
      <c r="AC34" s="30">
        <f t="shared" si="82"/>
        <v>0</v>
      </c>
      <c r="AD34" s="30">
        <f t="shared" si="83"/>
        <v>0</v>
      </c>
      <c r="AE34" s="30">
        <f t="shared" si="84"/>
        <v>0</v>
      </c>
      <c r="AF34" s="30">
        <f t="shared" si="85"/>
        <v>0</v>
      </c>
      <c r="AG34" s="30">
        <f t="shared" si="86"/>
        <v>0</v>
      </c>
      <c r="AH34" s="30">
        <f t="shared" si="87"/>
        <v>0</v>
      </c>
      <c r="AI34" s="22" t="s">
        <v>77</v>
      </c>
      <c r="AJ34" s="14">
        <f t="shared" si="88"/>
        <v>0</v>
      </c>
      <c r="AK34" s="14">
        <f t="shared" si="89"/>
        <v>0</v>
      </c>
      <c r="AL34" s="14">
        <f t="shared" si="90"/>
        <v>0</v>
      </c>
      <c r="AN34" s="30">
        <v>21</v>
      </c>
      <c r="AO34" s="30">
        <f>G34*0.1140625</f>
        <v>0</v>
      </c>
      <c r="AP34" s="30">
        <f>G34*(1-0.1140625)</f>
        <v>0</v>
      </c>
      <c r="AQ34" s="25" t="s">
        <v>6</v>
      </c>
      <c r="AV34" s="30">
        <f t="shared" si="91"/>
        <v>0</v>
      </c>
      <c r="AW34" s="30">
        <f t="shared" si="92"/>
        <v>0</v>
      </c>
      <c r="AX34" s="30">
        <f t="shared" si="93"/>
        <v>0</v>
      </c>
      <c r="AY34" s="31" t="s">
        <v>265</v>
      </c>
      <c r="AZ34" s="31" t="s">
        <v>270</v>
      </c>
      <c r="BA34" s="22" t="s">
        <v>274</v>
      </c>
      <c r="BC34" s="30">
        <f t="shared" si="94"/>
        <v>0</v>
      </c>
      <c r="BD34" s="30">
        <f t="shared" si="95"/>
        <v>0</v>
      </c>
      <c r="BE34" s="30">
        <v>0</v>
      </c>
      <c r="BF34" s="30">
        <f t="shared" si="96"/>
        <v>2.30664</v>
      </c>
      <c r="BH34" s="14">
        <f t="shared" si="97"/>
        <v>0</v>
      </c>
      <c r="BI34" s="14">
        <f t="shared" si="98"/>
        <v>0</v>
      </c>
      <c r="BJ34" s="14">
        <f t="shared" si="99"/>
        <v>0</v>
      </c>
    </row>
    <row r="35" spans="1:62" ht="12.75">
      <c r="A35" s="4" t="s">
        <v>33</v>
      </c>
      <c r="B35" s="4" t="s">
        <v>77</v>
      </c>
      <c r="C35" s="4" t="s">
        <v>111</v>
      </c>
      <c r="D35" s="4" t="s">
        <v>187</v>
      </c>
      <c r="E35" s="4" t="s">
        <v>228</v>
      </c>
      <c r="F35" s="54">
        <v>23.35</v>
      </c>
      <c r="G35" s="123">
        <v>0</v>
      </c>
      <c r="H35" s="14">
        <f t="shared" si="76"/>
        <v>0</v>
      </c>
      <c r="I35" s="14">
        <f t="shared" si="77"/>
        <v>0</v>
      </c>
      <c r="J35" s="14">
        <f t="shared" si="78"/>
        <v>0</v>
      </c>
      <c r="K35" s="14">
        <v>0.01113</v>
      </c>
      <c r="L35" s="14">
        <f t="shared" si="79"/>
        <v>0.2598855</v>
      </c>
      <c r="M35" s="25" t="s">
        <v>247</v>
      </c>
      <c r="Z35" s="30">
        <f t="shared" si="80"/>
        <v>0</v>
      </c>
      <c r="AB35" s="30">
        <f t="shared" si="81"/>
        <v>0</v>
      </c>
      <c r="AC35" s="30">
        <f t="shared" si="82"/>
        <v>0</v>
      </c>
      <c r="AD35" s="30">
        <f t="shared" si="83"/>
        <v>0</v>
      </c>
      <c r="AE35" s="30">
        <f t="shared" si="84"/>
        <v>0</v>
      </c>
      <c r="AF35" s="30">
        <f t="shared" si="85"/>
        <v>0</v>
      </c>
      <c r="AG35" s="30">
        <f t="shared" si="86"/>
        <v>0</v>
      </c>
      <c r="AH35" s="30">
        <f t="shared" si="87"/>
        <v>0</v>
      </c>
      <c r="AI35" s="22" t="s">
        <v>77</v>
      </c>
      <c r="AJ35" s="14">
        <f t="shared" si="88"/>
        <v>0</v>
      </c>
      <c r="AK35" s="14">
        <f t="shared" si="89"/>
        <v>0</v>
      </c>
      <c r="AL35" s="14">
        <f t="shared" si="90"/>
        <v>0</v>
      </c>
      <c r="AN35" s="30">
        <v>21</v>
      </c>
      <c r="AO35" s="30">
        <f>G35*0</f>
        <v>0</v>
      </c>
      <c r="AP35" s="30">
        <f>G35*(1-0)</f>
        <v>0</v>
      </c>
      <c r="AQ35" s="25" t="s">
        <v>6</v>
      </c>
      <c r="AV35" s="30">
        <f t="shared" si="91"/>
        <v>0</v>
      </c>
      <c r="AW35" s="30">
        <f t="shared" si="92"/>
        <v>0</v>
      </c>
      <c r="AX35" s="30">
        <f t="shared" si="93"/>
        <v>0</v>
      </c>
      <c r="AY35" s="31" t="s">
        <v>265</v>
      </c>
      <c r="AZ35" s="31" t="s">
        <v>270</v>
      </c>
      <c r="BA35" s="22" t="s">
        <v>274</v>
      </c>
      <c r="BC35" s="30">
        <f t="shared" si="94"/>
        <v>0</v>
      </c>
      <c r="BD35" s="30">
        <f t="shared" si="95"/>
        <v>0</v>
      </c>
      <c r="BE35" s="30">
        <v>0</v>
      </c>
      <c r="BF35" s="30">
        <f t="shared" si="96"/>
        <v>0.2598855</v>
      </c>
      <c r="BH35" s="14">
        <f t="shared" si="97"/>
        <v>0</v>
      </c>
      <c r="BI35" s="14">
        <f t="shared" si="98"/>
        <v>0</v>
      </c>
      <c r="BJ35" s="14">
        <f t="shared" si="99"/>
        <v>0</v>
      </c>
    </row>
    <row r="36" spans="1:47" ht="12.75">
      <c r="A36" s="3"/>
      <c r="B36" s="11" t="s">
        <v>77</v>
      </c>
      <c r="C36" s="11" t="s">
        <v>112</v>
      </c>
      <c r="D36" s="11" t="s">
        <v>188</v>
      </c>
      <c r="E36" s="3" t="s">
        <v>5</v>
      </c>
      <c r="F36" s="3" t="s">
        <v>5</v>
      </c>
      <c r="G36" s="3" t="s">
        <v>5</v>
      </c>
      <c r="H36" s="32" t="e">
        <f>SUM(H37:H46)</f>
        <v>#REF!</v>
      </c>
      <c r="I36" s="32" t="e">
        <f>SUM(I37:I46)</f>
        <v>#REF!</v>
      </c>
      <c r="J36" s="32">
        <f>SUM(J37:J46)</f>
        <v>0</v>
      </c>
      <c r="K36" s="22"/>
      <c r="L36" s="32">
        <f>SUM(L37:L46)</f>
        <v>0</v>
      </c>
      <c r="M36" s="22"/>
      <c r="AI36" s="22" t="s">
        <v>77</v>
      </c>
      <c r="AS36" s="32">
        <f>SUM(AJ37:AJ45)</f>
        <v>0</v>
      </c>
      <c r="AT36" s="32">
        <f>SUM(AK37:AK45)</f>
        <v>0</v>
      </c>
      <c r="AU36" s="32">
        <f>SUM(AL37:AL45)</f>
        <v>0</v>
      </c>
    </row>
    <row r="37" spans="1:62" ht="12.75">
      <c r="A37" s="4" t="s">
        <v>34</v>
      </c>
      <c r="B37" s="4" t="s">
        <v>77</v>
      </c>
      <c r="C37" s="4" t="s">
        <v>113</v>
      </c>
      <c r="D37" s="4" t="s">
        <v>189</v>
      </c>
      <c r="E37" s="4" t="s">
        <v>225</v>
      </c>
      <c r="F37" s="54">
        <f>F44+F45+F46</f>
        <v>7.431</v>
      </c>
      <c r="G37" s="123">
        <v>0</v>
      </c>
      <c r="H37" s="14">
        <f aca="true" t="shared" si="100" ref="H37:H44">F37*AO37</f>
        <v>0</v>
      </c>
      <c r="I37" s="14">
        <f aca="true" t="shared" si="101" ref="I37:I44">F37*AP37</f>
        <v>0</v>
      </c>
      <c r="J37" s="14">
        <f aca="true" t="shared" si="102" ref="J37:J46">F37*G37</f>
        <v>0</v>
      </c>
      <c r="K37" s="14">
        <v>0</v>
      </c>
      <c r="L37" s="14">
        <f aca="true" t="shared" si="103" ref="L37:L46">F37*K37</f>
        <v>0</v>
      </c>
      <c r="M37" s="25" t="s">
        <v>247</v>
      </c>
      <c r="Z37" s="30">
        <f aca="true" t="shared" si="104" ref="Z37:Z45">IF(AQ37="5",BJ37,0)</f>
        <v>0</v>
      </c>
      <c r="AB37" s="30">
        <f aca="true" t="shared" si="105" ref="AB37:AB45">IF(AQ37="1",BH37,0)</f>
        <v>0</v>
      </c>
      <c r="AC37" s="30">
        <f aca="true" t="shared" si="106" ref="AC37:AC45">IF(AQ37="1",BI37,0)</f>
        <v>0</v>
      </c>
      <c r="AD37" s="30">
        <f aca="true" t="shared" si="107" ref="AD37:AD45">IF(AQ37="7",BH37,0)</f>
        <v>0</v>
      </c>
      <c r="AE37" s="30">
        <f aca="true" t="shared" si="108" ref="AE37:AE45">IF(AQ37="7",BI37,0)</f>
        <v>0</v>
      </c>
      <c r="AF37" s="30">
        <f aca="true" t="shared" si="109" ref="AF37:AF45">IF(AQ37="2",BH37,0)</f>
        <v>0</v>
      </c>
      <c r="AG37" s="30">
        <f aca="true" t="shared" si="110" ref="AG37:AG45">IF(AQ37="2",BI37,0)</f>
        <v>0</v>
      </c>
      <c r="AH37" s="30">
        <f aca="true" t="shared" si="111" ref="AH37:AH45">IF(AQ37="0",BJ37,0)</f>
        <v>0</v>
      </c>
      <c r="AI37" s="22" t="s">
        <v>77</v>
      </c>
      <c r="AJ37" s="14">
        <f aca="true" t="shared" si="112" ref="AJ37:AJ43">IF(AN37=0,J37,0)</f>
        <v>0</v>
      </c>
      <c r="AK37" s="14">
        <f aca="true" t="shared" si="113" ref="AK37:AK43">IF(AN37=15,J37,0)</f>
        <v>0</v>
      </c>
      <c r="AL37" s="14">
        <f aca="true" t="shared" si="114" ref="AL37:AL43">IF(AN37=21,J37,0)</f>
        <v>0</v>
      </c>
      <c r="AN37" s="30">
        <v>21</v>
      </c>
      <c r="AO37" s="30">
        <f aca="true" t="shared" si="115" ref="AO37:AO43">G37*0</f>
        <v>0</v>
      </c>
      <c r="AP37" s="30">
        <f aca="true" t="shared" si="116" ref="AP37:AP43">G37*(1-0)</f>
        <v>0</v>
      </c>
      <c r="AQ37" s="25" t="s">
        <v>7</v>
      </c>
      <c r="AV37" s="30">
        <f aca="true" t="shared" si="117" ref="AV37:AV45">AW37+AX37</f>
        <v>0</v>
      </c>
      <c r="AW37" s="30">
        <f aca="true" t="shared" si="118" ref="AW37:AW43">F37*AO37</f>
        <v>0</v>
      </c>
      <c r="AX37" s="30">
        <f aca="true" t="shared" si="119" ref="AX37:AX43">F37*AP37</f>
        <v>0</v>
      </c>
      <c r="AY37" s="31" t="s">
        <v>266</v>
      </c>
      <c r="AZ37" s="31" t="s">
        <v>270</v>
      </c>
      <c r="BA37" s="22" t="s">
        <v>274</v>
      </c>
      <c r="BC37" s="30">
        <f aca="true" t="shared" si="120" ref="BC37:BC45">AW37+AX37</f>
        <v>0</v>
      </c>
      <c r="BD37" s="30">
        <f aca="true" t="shared" si="121" ref="BD37:BD43">G37/(100-BE37)*100</f>
        <v>0</v>
      </c>
      <c r="BE37" s="30">
        <v>0</v>
      </c>
      <c r="BF37" s="30">
        <f aca="true" t="shared" si="122" ref="BF37:BF43">L37</f>
        <v>0</v>
      </c>
      <c r="BH37" s="14">
        <f aca="true" t="shared" si="123" ref="BH37:BH43">F37*AO37</f>
        <v>0</v>
      </c>
      <c r="BI37" s="14">
        <f aca="true" t="shared" si="124" ref="BI37:BI43">F37*AP37</f>
        <v>0</v>
      </c>
      <c r="BJ37" s="14">
        <f aca="true" t="shared" si="125" ref="BJ37:BJ43">F37*G37</f>
        <v>0</v>
      </c>
    </row>
    <row r="38" spans="1:62" ht="12.75">
      <c r="A38" s="4" t="s">
        <v>35</v>
      </c>
      <c r="B38" s="4" t="s">
        <v>77</v>
      </c>
      <c r="C38" s="4" t="s">
        <v>114</v>
      </c>
      <c r="D38" s="4" t="s">
        <v>190</v>
      </c>
      <c r="E38" s="4" t="s">
        <v>225</v>
      </c>
      <c r="F38" s="54">
        <v>7.431</v>
      </c>
      <c r="G38" s="123">
        <v>0</v>
      </c>
      <c r="H38" s="14">
        <f t="shared" si="100"/>
        <v>0</v>
      </c>
      <c r="I38" s="14">
        <f t="shared" si="101"/>
        <v>0</v>
      </c>
      <c r="J38" s="14">
        <f t="shared" si="102"/>
        <v>0</v>
      </c>
      <c r="K38" s="14">
        <v>0</v>
      </c>
      <c r="L38" s="14">
        <f t="shared" si="103"/>
        <v>0</v>
      </c>
      <c r="M38" s="25" t="s">
        <v>247</v>
      </c>
      <c r="Z38" s="30">
        <f t="shared" si="104"/>
        <v>0</v>
      </c>
      <c r="AB38" s="30">
        <f t="shared" si="105"/>
        <v>0</v>
      </c>
      <c r="AC38" s="30">
        <f t="shared" si="106"/>
        <v>0</v>
      </c>
      <c r="AD38" s="30">
        <f t="shared" si="107"/>
        <v>0</v>
      </c>
      <c r="AE38" s="30">
        <f t="shared" si="108"/>
        <v>0</v>
      </c>
      <c r="AF38" s="30">
        <f t="shared" si="109"/>
        <v>0</v>
      </c>
      <c r="AG38" s="30">
        <f t="shared" si="110"/>
        <v>0</v>
      </c>
      <c r="AH38" s="30">
        <f t="shared" si="111"/>
        <v>0</v>
      </c>
      <c r="AI38" s="22" t="s">
        <v>77</v>
      </c>
      <c r="AJ38" s="14">
        <f t="shared" si="112"/>
        <v>0</v>
      </c>
      <c r="AK38" s="14">
        <f t="shared" si="113"/>
        <v>0</v>
      </c>
      <c r="AL38" s="14">
        <f t="shared" si="114"/>
        <v>0</v>
      </c>
      <c r="AN38" s="30">
        <v>21</v>
      </c>
      <c r="AO38" s="30">
        <f t="shared" si="115"/>
        <v>0</v>
      </c>
      <c r="AP38" s="30">
        <f t="shared" si="116"/>
        <v>0</v>
      </c>
      <c r="AQ38" s="25" t="s">
        <v>7</v>
      </c>
      <c r="AV38" s="30">
        <f t="shared" si="117"/>
        <v>0</v>
      </c>
      <c r="AW38" s="30">
        <f t="shared" si="118"/>
        <v>0</v>
      </c>
      <c r="AX38" s="30">
        <f t="shared" si="119"/>
        <v>0</v>
      </c>
      <c r="AY38" s="31" t="s">
        <v>266</v>
      </c>
      <c r="AZ38" s="31" t="s">
        <v>270</v>
      </c>
      <c r="BA38" s="22" t="s">
        <v>274</v>
      </c>
      <c r="BC38" s="30">
        <f t="shared" si="120"/>
        <v>0</v>
      </c>
      <c r="BD38" s="30">
        <f t="shared" si="121"/>
        <v>0</v>
      </c>
      <c r="BE38" s="30">
        <v>0</v>
      </c>
      <c r="BF38" s="30">
        <f t="shared" si="122"/>
        <v>0</v>
      </c>
      <c r="BH38" s="14">
        <f t="shared" si="123"/>
        <v>0</v>
      </c>
      <c r="BI38" s="14">
        <f t="shared" si="124"/>
        <v>0</v>
      </c>
      <c r="BJ38" s="14">
        <f t="shared" si="125"/>
        <v>0</v>
      </c>
    </row>
    <row r="39" spans="1:62" ht="12.75">
      <c r="A39" s="4" t="s">
        <v>36</v>
      </c>
      <c r="B39" s="4" t="s">
        <v>77</v>
      </c>
      <c r="C39" s="4" t="s">
        <v>115</v>
      </c>
      <c r="D39" s="4" t="s">
        <v>191</v>
      </c>
      <c r="E39" s="4" t="s">
        <v>225</v>
      </c>
      <c r="F39" s="54">
        <v>66.879</v>
      </c>
      <c r="G39" s="123">
        <v>0</v>
      </c>
      <c r="H39" s="14">
        <f t="shared" si="100"/>
        <v>0</v>
      </c>
      <c r="I39" s="14">
        <f t="shared" si="101"/>
        <v>0</v>
      </c>
      <c r="J39" s="14">
        <f t="shared" si="102"/>
        <v>0</v>
      </c>
      <c r="K39" s="14">
        <v>0</v>
      </c>
      <c r="L39" s="14">
        <f t="shared" si="103"/>
        <v>0</v>
      </c>
      <c r="M39" s="25" t="s">
        <v>247</v>
      </c>
      <c r="Z39" s="30">
        <f t="shared" si="104"/>
        <v>0</v>
      </c>
      <c r="AB39" s="30">
        <f t="shared" si="105"/>
        <v>0</v>
      </c>
      <c r="AC39" s="30">
        <f t="shared" si="106"/>
        <v>0</v>
      </c>
      <c r="AD39" s="30">
        <f t="shared" si="107"/>
        <v>0</v>
      </c>
      <c r="AE39" s="30">
        <f t="shared" si="108"/>
        <v>0</v>
      </c>
      <c r="AF39" s="30">
        <f t="shared" si="109"/>
        <v>0</v>
      </c>
      <c r="AG39" s="30">
        <f t="shared" si="110"/>
        <v>0</v>
      </c>
      <c r="AH39" s="30">
        <f t="shared" si="111"/>
        <v>0</v>
      </c>
      <c r="AI39" s="22" t="s">
        <v>77</v>
      </c>
      <c r="AJ39" s="14">
        <f t="shared" si="112"/>
        <v>0</v>
      </c>
      <c r="AK39" s="14">
        <f t="shared" si="113"/>
        <v>0</v>
      </c>
      <c r="AL39" s="14">
        <f t="shared" si="114"/>
        <v>0</v>
      </c>
      <c r="AN39" s="30">
        <v>21</v>
      </c>
      <c r="AO39" s="30">
        <f t="shared" si="115"/>
        <v>0</v>
      </c>
      <c r="AP39" s="30">
        <f t="shared" si="116"/>
        <v>0</v>
      </c>
      <c r="AQ39" s="25" t="s">
        <v>7</v>
      </c>
      <c r="AV39" s="30">
        <f t="shared" si="117"/>
        <v>0</v>
      </c>
      <c r="AW39" s="30">
        <f t="shared" si="118"/>
        <v>0</v>
      </c>
      <c r="AX39" s="30">
        <f t="shared" si="119"/>
        <v>0</v>
      </c>
      <c r="AY39" s="31" t="s">
        <v>266</v>
      </c>
      <c r="AZ39" s="31" t="s">
        <v>270</v>
      </c>
      <c r="BA39" s="22" t="s">
        <v>274</v>
      </c>
      <c r="BC39" s="30">
        <f t="shared" si="120"/>
        <v>0</v>
      </c>
      <c r="BD39" s="30">
        <f t="shared" si="121"/>
        <v>0</v>
      </c>
      <c r="BE39" s="30">
        <v>0</v>
      </c>
      <c r="BF39" s="30">
        <f t="shared" si="122"/>
        <v>0</v>
      </c>
      <c r="BH39" s="14">
        <f t="shared" si="123"/>
        <v>0</v>
      </c>
      <c r="BI39" s="14">
        <f t="shared" si="124"/>
        <v>0</v>
      </c>
      <c r="BJ39" s="14">
        <f t="shared" si="125"/>
        <v>0</v>
      </c>
    </row>
    <row r="40" spans="1:62" ht="12.75">
      <c r="A40" s="4" t="s">
        <v>37</v>
      </c>
      <c r="B40" s="4" t="s">
        <v>77</v>
      </c>
      <c r="C40" s="4" t="s">
        <v>116</v>
      </c>
      <c r="D40" s="4" t="s">
        <v>192</v>
      </c>
      <c r="E40" s="4" t="s">
        <v>225</v>
      </c>
      <c r="F40" s="54">
        <v>7.431</v>
      </c>
      <c r="G40" s="123">
        <v>0</v>
      </c>
      <c r="H40" s="14">
        <f t="shared" si="100"/>
        <v>0</v>
      </c>
      <c r="I40" s="14">
        <f t="shared" si="101"/>
        <v>0</v>
      </c>
      <c r="J40" s="14">
        <f t="shared" si="102"/>
        <v>0</v>
      </c>
      <c r="K40" s="14">
        <v>0</v>
      </c>
      <c r="L40" s="14">
        <f t="shared" si="103"/>
        <v>0</v>
      </c>
      <c r="M40" s="25" t="s">
        <v>247</v>
      </c>
      <c r="Z40" s="30">
        <f t="shared" si="104"/>
        <v>0</v>
      </c>
      <c r="AB40" s="30">
        <f t="shared" si="105"/>
        <v>0</v>
      </c>
      <c r="AC40" s="30">
        <f t="shared" si="106"/>
        <v>0</v>
      </c>
      <c r="AD40" s="30">
        <f t="shared" si="107"/>
        <v>0</v>
      </c>
      <c r="AE40" s="30">
        <f t="shared" si="108"/>
        <v>0</v>
      </c>
      <c r="AF40" s="30">
        <f t="shared" si="109"/>
        <v>0</v>
      </c>
      <c r="AG40" s="30">
        <f t="shared" si="110"/>
        <v>0</v>
      </c>
      <c r="AH40" s="30">
        <f t="shared" si="111"/>
        <v>0</v>
      </c>
      <c r="AI40" s="22" t="s">
        <v>77</v>
      </c>
      <c r="AJ40" s="14">
        <f t="shared" si="112"/>
        <v>0</v>
      </c>
      <c r="AK40" s="14">
        <f t="shared" si="113"/>
        <v>0</v>
      </c>
      <c r="AL40" s="14">
        <f t="shared" si="114"/>
        <v>0</v>
      </c>
      <c r="AN40" s="30">
        <v>21</v>
      </c>
      <c r="AO40" s="30">
        <f t="shared" si="115"/>
        <v>0</v>
      </c>
      <c r="AP40" s="30">
        <f t="shared" si="116"/>
        <v>0</v>
      </c>
      <c r="AQ40" s="25" t="s">
        <v>7</v>
      </c>
      <c r="AV40" s="30">
        <f t="shared" si="117"/>
        <v>0</v>
      </c>
      <c r="AW40" s="30">
        <f t="shared" si="118"/>
        <v>0</v>
      </c>
      <c r="AX40" s="30">
        <f t="shared" si="119"/>
        <v>0</v>
      </c>
      <c r="AY40" s="31" t="s">
        <v>266</v>
      </c>
      <c r="AZ40" s="31" t="s">
        <v>270</v>
      </c>
      <c r="BA40" s="22" t="s">
        <v>274</v>
      </c>
      <c r="BC40" s="30">
        <f t="shared" si="120"/>
        <v>0</v>
      </c>
      <c r="BD40" s="30">
        <f t="shared" si="121"/>
        <v>0</v>
      </c>
      <c r="BE40" s="30">
        <v>0</v>
      </c>
      <c r="BF40" s="30">
        <f t="shared" si="122"/>
        <v>0</v>
      </c>
      <c r="BH40" s="14">
        <f t="shared" si="123"/>
        <v>0</v>
      </c>
      <c r="BI40" s="14">
        <f t="shared" si="124"/>
        <v>0</v>
      </c>
      <c r="BJ40" s="14">
        <f t="shared" si="125"/>
        <v>0</v>
      </c>
    </row>
    <row r="41" spans="1:62" ht="12.75">
      <c r="A41" s="4" t="s">
        <v>38</v>
      </c>
      <c r="B41" s="4" t="s">
        <v>77</v>
      </c>
      <c r="C41" s="4" t="s">
        <v>117</v>
      </c>
      <c r="D41" s="4" t="s">
        <v>193</v>
      </c>
      <c r="E41" s="4" t="s">
        <v>225</v>
      </c>
      <c r="F41" s="54">
        <v>29.724</v>
      </c>
      <c r="G41" s="123">
        <v>0</v>
      </c>
      <c r="H41" s="14">
        <f t="shared" si="100"/>
        <v>0</v>
      </c>
      <c r="I41" s="14">
        <f t="shared" si="101"/>
        <v>0</v>
      </c>
      <c r="J41" s="14">
        <f t="shared" si="102"/>
        <v>0</v>
      </c>
      <c r="K41" s="14">
        <v>0</v>
      </c>
      <c r="L41" s="14">
        <f t="shared" si="103"/>
        <v>0</v>
      </c>
      <c r="M41" s="25" t="s">
        <v>247</v>
      </c>
      <c r="Z41" s="30">
        <f t="shared" si="104"/>
        <v>0</v>
      </c>
      <c r="AB41" s="30">
        <f t="shared" si="105"/>
        <v>0</v>
      </c>
      <c r="AC41" s="30">
        <f t="shared" si="106"/>
        <v>0</v>
      </c>
      <c r="AD41" s="30">
        <f t="shared" si="107"/>
        <v>0</v>
      </c>
      <c r="AE41" s="30">
        <f t="shared" si="108"/>
        <v>0</v>
      </c>
      <c r="AF41" s="30">
        <f t="shared" si="109"/>
        <v>0</v>
      </c>
      <c r="AG41" s="30">
        <f t="shared" si="110"/>
        <v>0</v>
      </c>
      <c r="AH41" s="30">
        <f t="shared" si="111"/>
        <v>0</v>
      </c>
      <c r="AI41" s="22" t="s">
        <v>77</v>
      </c>
      <c r="AJ41" s="14">
        <f t="shared" si="112"/>
        <v>0</v>
      </c>
      <c r="AK41" s="14">
        <f t="shared" si="113"/>
        <v>0</v>
      </c>
      <c r="AL41" s="14">
        <f t="shared" si="114"/>
        <v>0</v>
      </c>
      <c r="AN41" s="30">
        <v>21</v>
      </c>
      <c r="AO41" s="30">
        <f t="shared" si="115"/>
        <v>0</v>
      </c>
      <c r="AP41" s="30">
        <f t="shared" si="116"/>
        <v>0</v>
      </c>
      <c r="AQ41" s="25" t="s">
        <v>7</v>
      </c>
      <c r="AV41" s="30">
        <f t="shared" si="117"/>
        <v>0</v>
      </c>
      <c r="AW41" s="30">
        <f t="shared" si="118"/>
        <v>0</v>
      </c>
      <c r="AX41" s="30">
        <f t="shared" si="119"/>
        <v>0</v>
      </c>
      <c r="AY41" s="31" t="s">
        <v>266</v>
      </c>
      <c r="AZ41" s="31" t="s">
        <v>270</v>
      </c>
      <c r="BA41" s="22" t="s">
        <v>274</v>
      </c>
      <c r="BC41" s="30">
        <f t="shared" si="120"/>
        <v>0</v>
      </c>
      <c r="BD41" s="30">
        <f t="shared" si="121"/>
        <v>0</v>
      </c>
      <c r="BE41" s="30">
        <v>0</v>
      </c>
      <c r="BF41" s="30">
        <f t="shared" si="122"/>
        <v>0</v>
      </c>
      <c r="BH41" s="14">
        <f t="shared" si="123"/>
        <v>0</v>
      </c>
      <c r="BI41" s="14">
        <f t="shared" si="124"/>
        <v>0</v>
      </c>
      <c r="BJ41" s="14">
        <f t="shared" si="125"/>
        <v>0</v>
      </c>
    </row>
    <row r="42" spans="1:62" ht="12.75">
      <c r="A42" s="4" t="s">
        <v>39</v>
      </c>
      <c r="B42" s="4" t="s">
        <v>77</v>
      </c>
      <c r="C42" s="4" t="s">
        <v>118</v>
      </c>
      <c r="D42" s="4" t="s">
        <v>194</v>
      </c>
      <c r="E42" s="4" t="s">
        <v>225</v>
      </c>
      <c r="F42" s="54">
        <v>7.431</v>
      </c>
      <c r="G42" s="123">
        <v>0</v>
      </c>
      <c r="H42" s="14">
        <f t="shared" si="100"/>
        <v>0</v>
      </c>
      <c r="I42" s="14">
        <f t="shared" si="101"/>
        <v>0</v>
      </c>
      <c r="J42" s="14">
        <f t="shared" si="102"/>
        <v>0</v>
      </c>
      <c r="K42" s="14">
        <v>0</v>
      </c>
      <c r="L42" s="14">
        <f t="shared" si="103"/>
        <v>0</v>
      </c>
      <c r="M42" s="25" t="s">
        <v>247</v>
      </c>
      <c r="Z42" s="30">
        <f t="shared" si="104"/>
        <v>0</v>
      </c>
      <c r="AB42" s="30">
        <f t="shared" si="105"/>
        <v>0</v>
      </c>
      <c r="AC42" s="30">
        <f t="shared" si="106"/>
        <v>0</v>
      </c>
      <c r="AD42" s="30">
        <f t="shared" si="107"/>
        <v>0</v>
      </c>
      <c r="AE42" s="30">
        <f t="shared" si="108"/>
        <v>0</v>
      </c>
      <c r="AF42" s="30">
        <f t="shared" si="109"/>
        <v>0</v>
      </c>
      <c r="AG42" s="30">
        <f t="shared" si="110"/>
        <v>0</v>
      </c>
      <c r="AH42" s="30">
        <f t="shared" si="111"/>
        <v>0</v>
      </c>
      <c r="AI42" s="22" t="s">
        <v>77</v>
      </c>
      <c r="AJ42" s="14">
        <f t="shared" si="112"/>
        <v>0</v>
      </c>
      <c r="AK42" s="14">
        <f t="shared" si="113"/>
        <v>0</v>
      </c>
      <c r="AL42" s="14">
        <f t="shared" si="114"/>
        <v>0</v>
      </c>
      <c r="AN42" s="30">
        <v>21</v>
      </c>
      <c r="AO42" s="30">
        <f t="shared" si="115"/>
        <v>0</v>
      </c>
      <c r="AP42" s="30">
        <f t="shared" si="116"/>
        <v>0</v>
      </c>
      <c r="AQ42" s="25" t="s">
        <v>7</v>
      </c>
      <c r="AV42" s="30">
        <f t="shared" si="117"/>
        <v>0</v>
      </c>
      <c r="AW42" s="30">
        <f t="shared" si="118"/>
        <v>0</v>
      </c>
      <c r="AX42" s="30">
        <f t="shared" si="119"/>
        <v>0</v>
      </c>
      <c r="AY42" s="31" t="s">
        <v>266</v>
      </c>
      <c r="AZ42" s="31" t="s">
        <v>270</v>
      </c>
      <c r="BA42" s="22" t="s">
        <v>274</v>
      </c>
      <c r="BC42" s="30">
        <f t="shared" si="120"/>
        <v>0</v>
      </c>
      <c r="BD42" s="30">
        <f t="shared" si="121"/>
        <v>0</v>
      </c>
      <c r="BE42" s="30">
        <v>0</v>
      </c>
      <c r="BF42" s="30">
        <f t="shared" si="122"/>
        <v>0</v>
      </c>
      <c r="BH42" s="14">
        <f t="shared" si="123"/>
        <v>0</v>
      </c>
      <c r="BI42" s="14">
        <f t="shared" si="124"/>
        <v>0</v>
      </c>
      <c r="BJ42" s="14">
        <f t="shared" si="125"/>
        <v>0</v>
      </c>
    </row>
    <row r="43" spans="1:62" ht="12.75">
      <c r="A43" s="4" t="s">
        <v>40</v>
      </c>
      <c r="B43" s="4" t="s">
        <v>77</v>
      </c>
      <c r="C43" s="4" t="s">
        <v>119</v>
      </c>
      <c r="D43" s="4" t="s">
        <v>195</v>
      </c>
      <c r="E43" s="4" t="s">
        <v>225</v>
      </c>
      <c r="F43" s="54">
        <v>7.431</v>
      </c>
      <c r="G43" s="123">
        <v>0</v>
      </c>
      <c r="H43" s="14">
        <f t="shared" si="100"/>
        <v>0</v>
      </c>
      <c r="I43" s="14">
        <f t="shared" si="101"/>
        <v>0</v>
      </c>
      <c r="J43" s="14">
        <f t="shared" si="102"/>
        <v>0</v>
      </c>
      <c r="K43" s="14">
        <v>0</v>
      </c>
      <c r="L43" s="14">
        <f t="shared" si="103"/>
        <v>0</v>
      </c>
      <c r="M43" s="25" t="s">
        <v>247</v>
      </c>
      <c r="Z43" s="30">
        <f t="shared" si="104"/>
        <v>0</v>
      </c>
      <c r="AB43" s="30">
        <f t="shared" si="105"/>
        <v>0</v>
      </c>
      <c r="AC43" s="30">
        <f t="shared" si="106"/>
        <v>0</v>
      </c>
      <c r="AD43" s="30">
        <f t="shared" si="107"/>
        <v>0</v>
      </c>
      <c r="AE43" s="30">
        <f t="shared" si="108"/>
        <v>0</v>
      </c>
      <c r="AF43" s="30">
        <f t="shared" si="109"/>
        <v>0</v>
      </c>
      <c r="AG43" s="30">
        <f t="shared" si="110"/>
        <v>0</v>
      </c>
      <c r="AH43" s="30">
        <f t="shared" si="111"/>
        <v>0</v>
      </c>
      <c r="AI43" s="22" t="s">
        <v>77</v>
      </c>
      <c r="AJ43" s="14">
        <f t="shared" si="112"/>
        <v>0</v>
      </c>
      <c r="AK43" s="14">
        <f t="shared" si="113"/>
        <v>0</v>
      </c>
      <c r="AL43" s="14">
        <f t="shared" si="114"/>
        <v>0</v>
      </c>
      <c r="AN43" s="30">
        <v>21</v>
      </c>
      <c r="AO43" s="30">
        <f t="shared" si="115"/>
        <v>0</v>
      </c>
      <c r="AP43" s="30">
        <f t="shared" si="116"/>
        <v>0</v>
      </c>
      <c r="AQ43" s="25" t="s">
        <v>7</v>
      </c>
      <c r="AV43" s="30">
        <f t="shared" si="117"/>
        <v>0</v>
      </c>
      <c r="AW43" s="30">
        <f t="shared" si="118"/>
        <v>0</v>
      </c>
      <c r="AX43" s="30">
        <f t="shared" si="119"/>
        <v>0</v>
      </c>
      <c r="AY43" s="31" t="s">
        <v>266</v>
      </c>
      <c r="AZ43" s="31" t="s">
        <v>270</v>
      </c>
      <c r="BA43" s="22" t="s">
        <v>274</v>
      </c>
      <c r="BC43" s="30">
        <f t="shared" si="120"/>
        <v>0</v>
      </c>
      <c r="BD43" s="30">
        <f t="shared" si="121"/>
        <v>0</v>
      </c>
      <c r="BE43" s="30">
        <v>0</v>
      </c>
      <c r="BF43" s="30">
        <f t="shared" si="122"/>
        <v>0</v>
      </c>
      <c r="BH43" s="14">
        <f t="shared" si="123"/>
        <v>0</v>
      </c>
      <c r="BI43" s="14">
        <f t="shared" si="124"/>
        <v>0</v>
      </c>
      <c r="BJ43" s="14">
        <f t="shared" si="125"/>
        <v>0</v>
      </c>
    </row>
    <row r="44" spans="1:62" ht="12.75">
      <c r="A44" s="80" t="s">
        <v>41</v>
      </c>
      <c r="B44" s="80" t="s">
        <v>77</v>
      </c>
      <c r="C44" s="80" t="s">
        <v>120</v>
      </c>
      <c r="D44" s="80" t="s">
        <v>196</v>
      </c>
      <c r="E44" s="80" t="s">
        <v>225</v>
      </c>
      <c r="F44" s="101">
        <v>4.301</v>
      </c>
      <c r="G44" s="128">
        <v>0</v>
      </c>
      <c r="H44" s="81">
        <f t="shared" si="100"/>
        <v>0</v>
      </c>
      <c r="I44" s="81">
        <f t="shared" si="101"/>
        <v>0</v>
      </c>
      <c r="J44" s="81">
        <f t="shared" si="102"/>
        <v>0</v>
      </c>
      <c r="K44" s="81">
        <v>0</v>
      </c>
      <c r="L44" s="81">
        <f t="shared" si="103"/>
        <v>0</v>
      </c>
      <c r="M44" s="82" t="s">
        <v>247</v>
      </c>
      <c r="Z44" s="30"/>
      <c r="AB44" s="30"/>
      <c r="AC44" s="30"/>
      <c r="AD44" s="30"/>
      <c r="AE44" s="30"/>
      <c r="AF44" s="30"/>
      <c r="AG44" s="30"/>
      <c r="AH44" s="30"/>
      <c r="AI44" s="22"/>
      <c r="AJ44" s="14"/>
      <c r="AK44" s="14"/>
      <c r="AL44" s="14"/>
      <c r="AN44" s="30"/>
      <c r="AO44" s="30"/>
      <c r="AP44" s="30"/>
      <c r="AQ44" s="25"/>
      <c r="AV44" s="30"/>
      <c r="AW44" s="30"/>
      <c r="AX44" s="30"/>
      <c r="AY44" s="31"/>
      <c r="AZ44" s="31"/>
      <c r="BA44" s="22"/>
      <c r="BC44" s="30"/>
      <c r="BD44" s="30"/>
      <c r="BE44" s="30"/>
      <c r="BF44" s="30"/>
      <c r="BH44" s="14"/>
      <c r="BI44" s="14"/>
      <c r="BJ44" s="14"/>
    </row>
    <row r="45" spans="1:62" ht="12.75">
      <c r="A45" s="4" t="s">
        <v>42</v>
      </c>
      <c r="B45" s="4" t="s">
        <v>77</v>
      </c>
      <c r="C45" s="4" t="s">
        <v>121</v>
      </c>
      <c r="D45" s="4" t="s">
        <v>197</v>
      </c>
      <c r="E45" s="4" t="s">
        <v>225</v>
      </c>
      <c r="F45" s="54">
        <v>0.26</v>
      </c>
      <c r="G45" s="123">
        <v>0</v>
      </c>
      <c r="H45" s="14" t="e">
        <f>F45*#REF!</f>
        <v>#REF!</v>
      </c>
      <c r="I45" s="14" t="e">
        <f>F45*#REF!</f>
        <v>#REF!</v>
      </c>
      <c r="J45" s="14">
        <f t="shared" si="102"/>
        <v>0</v>
      </c>
      <c r="K45" s="14">
        <v>0</v>
      </c>
      <c r="L45" s="14">
        <f t="shared" si="103"/>
        <v>0</v>
      </c>
      <c r="M45" s="25" t="s">
        <v>247</v>
      </c>
      <c r="Z45" s="30">
        <f t="shared" si="104"/>
        <v>0</v>
      </c>
      <c r="AB45" s="30">
        <f t="shared" si="105"/>
        <v>0</v>
      </c>
      <c r="AC45" s="30">
        <f t="shared" si="106"/>
        <v>0</v>
      </c>
      <c r="AD45" s="30">
        <f t="shared" si="107"/>
        <v>0</v>
      </c>
      <c r="AE45" s="30">
        <f t="shared" si="108"/>
        <v>0</v>
      </c>
      <c r="AF45" s="30">
        <f t="shared" si="109"/>
        <v>0</v>
      </c>
      <c r="AG45" s="30">
        <f t="shared" si="110"/>
        <v>0</v>
      </c>
      <c r="AH45" s="30">
        <f t="shared" si="111"/>
        <v>0</v>
      </c>
      <c r="AI45" s="22" t="s">
        <v>77</v>
      </c>
      <c r="AJ45" s="14">
        <f>IF(AN45=0,J46,0)</f>
        <v>0</v>
      </c>
      <c r="AK45" s="14">
        <f>IF(AN45=15,J46,0)</f>
        <v>0</v>
      </c>
      <c r="AL45" s="14">
        <f>IF(AN45=21,J46,0)</f>
        <v>0</v>
      </c>
      <c r="AN45" s="30">
        <v>21</v>
      </c>
      <c r="AO45" s="30">
        <f>G46*0</f>
        <v>0</v>
      </c>
      <c r="AP45" s="30">
        <f>G46*(1-0)</f>
        <v>0</v>
      </c>
      <c r="AQ45" s="25" t="s">
        <v>7</v>
      </c>
      <c r="AV45" s="30">
        <f t="shared" si="117"/>
        <v>0</v>
      </c>
      <c r="AW45" s="30">
        <f>F46*AO45</f>
        <v>0</v>
      </c>
      <c r="AX45" s="30">
        <f>F46*AP45</f>
        <v>0</v>
      </c>
      <c r="AY45" s="31" t="s">
        <v>266</v>
      </c>
      <c r="AZ45" s="31" t="s">
        <v>270</v>
      </c>
      <c r="BA45" s="22" t="s">
        <v>274</v>
      </c>
      <c r="BC45" s="30">
        <f t="shared" si="120"/>
        <v>0</v>
      </c>
      <c r="BD45" s="30">
        <f>G46/(100-BE45)*100</f>
        <v>0</v>
      </c>
      <c r="BE45" s="30">
        <v>0</v>
      </c>
      <c r="BF45" s="30">
        <f>L46</f>
        <v>0</v>
      </c>
      <c r="BH45" s="14">
        <f>F46*AO45</f>
        <v>0</v>
      </c>
      <c r="BI45" s="14">
        <f>F46*AP45</f>
        <v>0</v>
      </c>
      <c r="BJ45" s="14">
        <f>F46*G46</f>
        <v>0</v>
      </c>
    </row>
    <row r="46" spans="1:47" ht="12.75">
      <c r="A46" s="4" t="s">
        <v>43</v>
      </c>
      <c r="B46" s="4" t="s">
        <v>77</v>
      </c>
      <c r="C46" s="4" t="s">
        <v>122</v>
      </c>
      <c r="D46" s="4" t="s">
        <v>198</v>
      </c>
      <c r="E46" s="4" t="s">
        <v>225</v>
      </c>
      <c r="F46" s="54">
        <v>2.87</v>
      </c>
      <c r="G46" s="123">
        <v>0</v>
      </c>
      <c r="H46" s="14">
        <f>F46*AO45</f>
        <v>0</v>
      </c>
      <c r="I46" s="14">
        <f>F46*AP45</f>
        <v>0</v>
      </c>
      <c r="J46" s="14">
        <f t="shared" si="102"/>
        <v>0</v>
      </c>
      <c r="K46" s="14">
        <v>0</v>
      </c>
      <c r="L46" s="14">
        <f t="shared" si="103"/>
        <v>0</v>
      </c>
      <c r="M46" s="25" t="s">
        <v>247</v>
      </c>
      <c r="AI46" s="22" t="s">
        <v>77</v>
      </c>
      <c r="AS46" s="32">
        <f>SUM(AJ47:AJ47)</f>
        <v>0</v>
      </c>
      <c r="AT46" s="32">
        <f>SUM(AK47:AK47)</f>
        <v>0</v>
      </c>
      <c r="AU46" s="32">
        <f>SUM(AL47:AL47)</f>
        <v>0</v>
      </c>
    </row>
    <row r="47" spans="1:62" ht="12.75">
      <c r="A47" s="3"/>
      <c r="B47" s="11" t="s">
        <v>77</v>
      </c>
      <c r="C47" s="11" t="s">
        <v>123</v>
      </c>
      <c r="D47" s="11" t="s">
        <v>199</v>
      </c>
      <c r="E47" s="3" t="s">
        <v>5</v>
      </c>
      <c r="F47" s="3" t="s">
        <v>5</v>
      </c>
      <c r="G47" s="3" t="s">
        <v>5</v>
      </c>
      <c r="H47" s="32">
        <f>SUM(H48:H48)</f>
        <v>0</v>
      </c>
      <c r="I47" s="32">
        <f>SUM(I48:I48)</f>
        <v>0</v>
      </c>
      <c r="J47" s="32">
        <f>SUM(J48:J48)</f>
        <v>0</v>
      </c>
      <c r="K47" s="22"/>
      <c r="L47" s="32">
        <f>SUM(L48:L48)</f>
        <v>0</v>
      </c>
      <c r="M47" s="22"/>
      <c r="Z47" s="30">
        <f>IF(AQ47="5",BJ47,0)</f>
        <v>0</v>
      </c>
      <c r="AB47" s="30">
        <f>IF(AQ47="1",BH47,0)</f>
        <v>0</v>
      </c>
      <c r="AC47" s="30">
        <f>IF(AQ47="1",BI47,0)</f>
        <v>0</v>
      </c>
      <c r="AD47" s="30">
        <f>IF(AQ47="7",BH47,0)</f>
        <v>0</v>
      </c>
      <c r="AE47" s="30">
        <f>IF(AQ47="7",BI47,0)</f>
        <v>0</v>
      </c>
      <c r="AF47" s="30">
        <f>IF(AQ47="2",BH47,0)</f>
        <v>0</v>
      </c>
      <c r="AG47" s="30">
        <f>IF(AQ47="2",BI47,0)</f>
        <v>0</v>
      </c>
      <c r="AH47" s="30">
        <f>IF(AQ47="0",BJ47,0)</f>
        <v>0</v>
      </c>
      <c r="AI47" s="22" t="s">
        <v>77</v>
      </c>
      <c r="AJ47" s="14">
        <f>IF(AN47=0,J48,0)</f>
        <v>0</v>
      </c>
      <c r="AK47" s="14">
        <f>IF(AN47=15,J48,0)</f>
        <v>0</v>
      </c>
      <c r="AL47" s="14">
        <f>IF(AN47=21,J48,0)</f>
        <v>0</v>
      </c>
      <c r="AN47" s="30">
        <v>21</v>
      </c>
      <c r="AO47" s="30">
        <f>G48*0</f>
        <v>0</v>
      </c>
      <c r="AP47" s="30">
        <f>G48*(1-0)</f>
        <v>0</v>
      </c>
      <c r="AQ47" s="25" t="s">
        <v>7</v>
      </c>
      <c r="AV47" s="30">
        <f>AW47+AX47</f>
        <v>0</v>
      </c>
      <c r="AW47" s="30">
        <f>F48*AO47</f>
        <v>0</v>
      </c>
      <c r="AX47" s="30">
        <f>F48*AP47</f>
        <v>0</v>
      </c>
      <c r="AY47" s="31" t="s">
        <v>267</v>
      </c>
      <c r="AZ47" s="31" t="s">
        <v>270</v>
      </c>
      <c r="BA47" s="22" t="s">
        <v>274</v>
      </c>
      <c r="BC47" s="30">
        <f>AW47+AX47</f>
        <v>0</v>
      </c>
      <c r="BD47" s="30">
        <f>G48/(100-BE47)*100</f>
        <v>0</v>
      </c>
      <c r="BE47" s="30">
        <v>0</v>
      </c>
      <c r="BF47" s="30">
        <f>L48</f>
        <v>0</v>
      </c>
      <c r="BH47" s="14">
        <f>F48*AO47</f>
        <v>0</v>
      </c>
      <c r="BI47" s="14">
        <f>F48*AP47</f>
        <v>0</v>
      </c>
      <c r="BJ47" s="14">
        <f>F48*G48</f>
        <v>0</v>
      </c>
    </row>
    <row r="48" spans="1:47" s="89" customFormat="1" ht="12.75">
      <c r="A48" s="83" t="s">
        <v>44</v>
      </c>
      <c r="B48" s="83" t="s">
        <v>77</v>
      </c>
      <c r="C48" s="83" t="s">
        <v>124</v>
      </c>
      <c r="D48" s="83" t="s">
        <v>200</v>
      </c>
      <c r="E48" s="83" t="s">
        <v>225</v>
      </c>
      <c r="F48" s="102">
        <f>L13+L20+L23</f>
        <v>4.7700625</v>
      </c>
      <c r="G48" s="126">
        <v>0</v>
      </c>
      <c r="H48" s="84">
        <f>F48*AO47</f>
        <v>0</v>
      </c>
      <c r="I48" s="84">
        <f>F48*AP47</f>
        <v>0</v>
      </c>
      <c r="J48" s="84">
        <f>F48*G48</f>
        <v>0</v>
      </c>
      <c r="K48" s="84">
        <v>0</v>
      </c>
      <c r="L48" s="84">
        <f>F48*K48</f>
        <v>0</v>
      </c>
      <c r="M48" s="85" t="s">
        <v>247</v>
      </c>
      <c r="AI48" s="90" t="s">
        <v>77</v>
      </c>
      <c r="AS48" s="91">
        <f>SUM(AJ49:AJ52)</f>
        <v>0</v>
      </c>
      <c r="AT48" s="91">
        <f>SUM(AK49:AK52)</f>
        <v>0</v>
      </c>
      <c r="AU48" s="91">
        <f>SUM(AL49:AL52)</f>
        <v>0</v>
      </c>
    </row>
    <row r="49" spans="1:62" ht="12.75">
      <c r="A49" s="3"/>
      <c r="B49" s="11" t="s">
        <v>77</v>
      </c>
      <c r="C49" s="11" t="s">
        <v>13</v>
      </c>
      <c r="D49" s="11" t="s">
        <v>157</v>
      </c>
      <c r="E49" s="3" t="s">
        <v>5</v>
      </c>
      <c r="F49" s="3" t="s">
        <v>5</v>
      </c>
      <c r="G49" s="3"/>
      <c r="H49" s="32">
        <f>SUM(H50:H53)</f>
        <v>0</v>
      </c>
      <c r="I49" s="32">
        <f>SUM(I50:I53)</f>
        <v>0</v>
      </c>
      <c r="J49" s="32">
        <f>SUM(J50:J53)</f>
        <v>0</v>
      </c>
      <c r="K49" s="22"/>
      <c r="L49" s="32">
        <f>SUM(L50:L53)</f>
        <v>0.09254000000000001</v>
      </c>
      <c r="M49" s="22"/>
      <c r="Z49" s="30">
        <f aca="true" t="shared" si="126" ref="Z49:Z52">IF(AQ49="5",BJ49,0)</f>
        <v>0</v>
      </c>
      <c r="AB49" s="30">
        <f aca="true" t="shared" si="127" ref="AB49:AB52">IF(AQ49="1",BH49,0)</f>
        <v>0</v>
      </c>
      <c r="AC49" s="30">
        <f aca="true" t="shared" si="128" ref="AC49:AC52">IF(AQ49="1",BI49,0)</f>
        <v>0</v>
      </c>
      <c r="AD49" s="30">
        <f aca="true" t="shared" si="129" ref="AD49:AD52">IF(AQ49="7",BH49,0)</f>
        <v>0</v>
      </c>
      <c r="AE49" s="30">
        <f aca="true" t="shared" si="130" ref="AE49:AE52">IF(AQ49="7",BI49,0)</f>
        <v>0</v>
      </c>
      <c r="AF49" s="30">
        <f aca="true" t="shared" si="131" ref="AF49:AF52">IF(AQ49="2",BH49,0)</f>
        <v>0</v>
      </c>
      <c r="AG49" s="30">
        <f aca="true" t="shared" si="132" ref="AG49:AG52">IF(AQ49="2",BI49,0)</f>
        <v>0</v>
      </c>
      <c r="AH49" s="30">
        <f aca="true" t="shared" si="133" ref="AH49:AH52">IF(AQ49="0",BJ49,0)</f>
        <v>0</v>
      </c>
      <c r="AI49" s="22" t="s">
        <v>77</v>
      </c>
      <c r="AJ49" s="14">
        <f>IF(AN49=0,J50,0)</f>
        <v>0</v>
      </c>
      <c r="AK49" s="14">
        <f>IF(AN49=15,J50,0)</f>
        <v>0</v>
      </c>
      <c r="AL49" s="14">
        <f>IF(AN49=21,J50,0)</f>
        <v>0</v>
      </c>
      <c r="AN49" s="30">
        <v>21</v>
      </c>
      <c r="AO49" s="30">
        <f>G50*0.287850287907869</f>
        <v>0</v>
      </c>
      <c r="AP49" s="30">
        <f>G50*(1-0.287850287907869)</f>
        <v>0</v>
      </c>
      <c r="AQ49" s="25" t="s">
        <v>8</v>
      </c>
      <c r="AV49" s="30">
        <f aca="true" t="shared" si="134" ref="AV49:AV52">AW49+AX49</f>
        <v>0</v>
      </c>
      <c r="AW49" s="30">
        <f>F50*AO49</f>
        <v>0</v>
      </c>
      <c r="AX49" s="30">
        <f>F50*AP49</f>
        <v>0</v>
      </c>
      <c r="AY49" s="31" t="s">
        <v>260</v>
      </c>
      <c r="AZ49" s="31" t="s">
        <v>271</v>
      </c>
      <c r="BA49" s="22" t="s">
        <v>274</v>
      </c>
      <c r="BC49" s="30">
        <f aca="true" t="shared" si="135" ref="BC49:BC52">AW49+AX49</f>
        <v>0</v>
      </c>
      <c r="BD49" s="30">
        <f>G50/(100-BE49)*100</f>
        <v>0</v>
      </c>
      <c r="BE49" s="30">
        <v>0</v>
      </c>
      <c r="BF49" s="30">
        <f>L50</f>
        <v>0.02555</v>
      </c>
      <c r="BH49" s="14">
        <f>F50*AO49</f>
        <v>0</v>
      </c>
      <c r="BI49" s="14">
        <f>F50*AP49</f>
        <v>0</v>
      </c>
      <c r="BJ49" s="14">
        <f>F50*G50</f>
        <v>0</v>
      </c>
    </row>
    <row r="50" spans="1:62" ht="12.75">
      <c r="A50" s="4" t="s">
        <v>45</v>
      </c>
      <c r="B50" s="4" t="s">
        <v>77</v>
      </c>
      <c r="C50" s="4" t="s">
        <v>125</v>
      </c>
      <c r="D50" s="4" t="s">
        <v>201</v>
      </c>
      <c r="E50" s="4" t="s">
        <v>228</v>
      </c>
      <c r="F50" s="54">
        <v>7</v>
      </c>
      <c r="G50" s="123">
        <v>0</v>
      </c>
      <c r="H50" s="14">
        <f>F50*AO49</f>
        <v>0</v>
      </c>
      <c r="I50" s="14">
        <f>F50*AP49</f>
        <v>0</v>
      </c>
      <c r="J50" s="14">
        <f aca="true" t="shared" si="136" ref="J50:J53">F50*G50</f>
        <v>0</v>
      </c>
      <c r="K50" s="14">
        <v>0.00365</v>
      </c>
      <c r="L50" s="14">
        <f aca="true" t="shared" si="137" ref="L50:L53">F50*K50</f>
        <v>0.02555</v>
      </c>
      <c r="M50" s="25" t="s">
        <v>247</v>
      </c>
      <c r="Z50" s="30">
        <f t="shared" si="126"/>
        <v>0</v>
      </c>
      <c r="AB50" s="30">
        <f t="shared" si="127"/>
        <v>0</v>
      </c>
      <c r="AC50" s="30">
        <f t="shared" si="128"/>
        <v>0</v>
      </c>
      <c r="AD50" s="30">
        <f t="shared" si="129"/>
        <v>0</v>
      </c>
      <c r="AE50" s="30">
        <f t="shared" si="130"/>
        <v>0</v>
      </c>
      <c r="AF50" s="30">
        <f t="shared" si="131"/>
        <v>0</v>
      </c>
      <c r="AG50" s="30">
        <f t="shared" si="132"/>
        <v>0</v>
      </c>
      <c r="AH50" s="30">
        <f t="shared" si="133"/>
        <v>0</v>
      </c>
      <c r="AI50" s="22" t="s">
        <v>77</v>
      </c>
      <c r="AJ50" s="14">
        <f>IF(AN50=0,J51,0)</f>
        <v>0</v>
      </c>
      <c r="AK50" s="14">
        <f>IF(AN50=15,J51,0)</f>
        <v>0</v>
      </c>
      <c r="AL50" s="14">
        <f>IF(AN50=21,J51,0)</f>
        <v>0</v>
      </c>
      <c r="AN50" s="30">
        <v>21</v>
      </c>
      <c r="AO50" s="30">
        <f>G51*0.31628801431127</f>
        <v>0</v>
      </c>
      <c r="AP50" s="30">
        <f>G51*(1-0.31628801431127)</f>
        <v>0</v>
      </c>
      <c r="AQ50" s="25" t="s">
        <v>8</v>
      </c>
      <c r="AV50" s="30">
        <f t="shared" si="134"/>
        <v>0</v>
      </c>
      <c r="AW50" s="30">
        <f>F51*AO50</f>
        <v>0</v>
      </c>
      <c r="AX50" s="30">
        <f>F51*AP50</f>
        <v>0</v>
      </c>
      <c r="AY50" s="31" t="s">
        <v>260</v>
      </c>
      <c r="AZ50" s="31" t="s">
        <v>271</v>
      </c>
      <c r="BA50" s="22" t="s">
        <v>274</v>
      </c>
      <c r="BC50" s="30">
        <f t="shared" si="135"/>
        <v>0</v>
      </c>
      <c r="BD50" s="30">
        <f>G51/(100-BE50)*100</f>
        <v>0</v>
      </c>
      <c r="BE50" s="30">
        <v>0</v>
      </c>
      <c r="BF50" s="30">
        <f>L51</f>
        <v>0.06024</v>
      </c>
      <c r="BH50" s="14">
        <f>F51*AO50</f>
        <v>0</v>
      </c>
      <c r="BI50" s="14">
        <f>F51*AP50</f>
        <v>0</v>
      </c>
      <c r="BJ50" s="14">
        <f>F51*G51</f>
        <v>0</v>
      </c>
    </row>
    <row r="51" spans="1:62" ht="12.75">
      <c r="A51" s="4" t="s">
        <v>46</v>
      </c>
      <c r="B51" s="4" t="s">
        <v>77</v>
      </c>
      <c r="C51" s="4" t="s">
        <v>126</v>
      </c>
      <c r="D51" s="4" t="s">
        <v>202</v>
      </c>
      <c r="E51" s="4" t="s">
        <v>228</v>
      </c>
      <c r="F51" s="54">
        <v>12</v>
      </c>
      <c r="G51" s="123">
        <v>0</v>
      </c>
      <c r="H51" s="14">
        <f>F51*AO50</f>
        <v>0</v>
      </c>
      <c r="I51" s="14">
        <f>F51*AP50</f>
        <v>0</v>
      </c>
      <c r="J51" s="14">
        <f t="shared" si="136"/>
        <v>0</v>
      </c>
      <c r="K51" s="14">
        <v>0.00502</v>
      </c>
      <c r="L51" s="14">
        <f t="shared" si="137"/>
        <v>0.06024</v>
      </c>
      <c r="M51" s="25" t="s">
        <v>247</v>
      </c>
      <c r="Z51" s="30">
        <f t="shared" si="126"/>
        <v>0</v>
      </c>
      <c r="AB51" s="30">
        <f t="shared" si="127"/>
        <v>0</v>
      </c>
      <c r="AC51" s="30">
        <f t="shared" si="128"/>
        <v>0</v>
      </c>
      <c r="AD51" s="30">
        <f t="shared" si="129"/>
        <v>0</v>
      </c>
      <c r="AE51" s="30">
        <f t="shared" si="130"/>
        <v>0</v>
      </c>
      <c r="AF51" s="30">
        <f t="shared" si="131"/>
        <v>0</v>
      </c>
      <c r="AG51" s="30">
        <f t="shared" si="132"/>
        <v>0</v>
      </c>
      <c r="AH51" s="30">
        <f t="shared" si="133"/>
        <v>0</v>
      </c>
      <c r="AI51" s="22" t="s">
        <v>77</v>
      </c>
      <c r="AJ51" s="14">
        <f>IF(AN51=0,J52,0)</f>
        <v>0</v>
      </c>
      <c r="AK51" s="14">
        <f>IF(AN51=15,J52,0)</f>
        <v>0</v>
      </c>
      <c r="AL51" s="14">
        <f>IF(AN51=21,J52,0)</f>
        <v>0</v>
      </c>
      <c r="AN51" s="30">
        <v>21</v>
      </c>
      <c r="AO51" s="30">
        <f>G52*0</f>
        <v>0</v>
      </c>
      <c r="AP51" s="30">
        <f>G52*(1-0)</f>
        <v>0</v>
      </c>
      <c r="AQ51" s="25" t="s">
        <v>8</v>
      </c>
      <c r="AV51" s="30">
        <f t="shared" si="134"/>
        <v>0</v>
      </c>
      <c r="AW51" s="30">
        <f>F52*AO51</f>
        <v>0</v>
      </c>
      <c r="AX51" s="30">
        <f>F52*AP51</f>
        <v>0</v>
      </c>
      <c r="AY51" s="31" t="s">
        <v>260</v>
      </c>
      <c r="AZ51" s="31" t="s">
        <v>271</v>
      </c>
      <c r="BA51" s="22" t="s">
        <v>274</v>
      </c>
      <c r="BC51" s="30">
        <f t="shared" si="135"/>
        <v>0</v>
      </c>
      <c r="BD51" s="30">
        <f>G52/(100-BE51)*100</f>
        <v>0</v>
      </c>
      <c r="BE51" s="30">
        <v>0</v>
      </c>
      <c r="BF51" s="30">
        <f>L52</f>
        <v>0.006750000000000001</v>
      </c>
      <c r="BH51" s="14">
        <f>F52*AO51</f>
        <v>0</v>
      </c>
      <c r="BI51" s="14">
        <f>F52*AP51</f>
        <v>0</v>
      </c>
      <c r="BJ51" s="14">
        <f>F52*G52</f>
        <v>0</v>
      </c>
    </row>
    <row r="52" spans="1:62" ht="12.75">
      <c r="A52" s="4" t="s">
        <v>47</v>
      </c>
      <c r="B52" s="4" t="s">
        <v>77</v>
      </c>
      <c r="C52" s="4" t="s">
        <v>127</v>
      </c>
      <c r="D52" s="4" t="s">
        <v>203</v>
      </c>
      <c r="E52" s="4" t="s">
        <v>228</v>
      </c>
      <c r="F52" s="54">
        <v>5</v>
      </c>
      <c r="G52" s="123">
        <v>0</v>
      </c>
      <c r="H52" s="14">
        <f>F52*AO51</f>
        <v>0</v>
      </c>
      <c r="I52" s="14">
        <f>F52*AP51</f>
        <v>0</v>
      </c>
      <c r="J52" s="14">
        <f t="shared" si="136"/>
        <v>0</v>
      </c>
      <c r="K52" s="14">
        <v>0.00135</v>
      </c>
      <c r="L52" s="14">
        <f t="shared" si="137"/>
        <v>0.006750000000000001</v>
      </c>
      <c r="M52" s="25" t="s">
        <v>247</v>
      </c>
      <c r="Z52" s="30">
        <f t="shared" si="126"/>
        <v>0</v>
      </c>
      <c r="AB52" s="30">
        <f t="shared" si="127"/>
        <v>0</v>
      </c>
      <c r="AC52" s="30">
        <f t="shared" si="128"/>
        <v>0</v>
      </c>
      <c r="AD52" s="30">
        <f t="shared" si="129"/>
        <v>0</v>
      </c>
      <c r="AE52" s="30">
        <f t="shared" si="130"/>
        <v>0</v>
      </c>
      <c r="AF52" s="30">
        <f t="shared" si="131"/>
        <v>0</v>
      </c>
      <c r="AG52" s="30">
        <f t="shared" si="132"/>
        <v>0</v>
      </c>
      <c r="AH52" s="30">
        <f t="shared" si="133"/>
        <v>0</v>
      </c>
      <c r="AI52" s="22" t="s">
        <v>77</v>
      </c>
      <c r="AJ52" s="14">
        <f>IF(AN52=0,J53,0)</f>
        <v>0</v>
      </c>
      <c r="AK52" s="14">
        <f>IF(AN52=15,J53,0)</f>
        <v>0</v>
      </c>
      <c r="AL52" s="14">
        <f>IF(AN52=21,J53,0)</f>
        <v>0</v>
      </c>
      <c r="AN52" s="30">
        <v>21</v>
      </c>
      <c r="AO52" s="30">
        <f>G53*0</f>
        <v>0</v>
      </c>
      <c r="AP52" s="30">
        <f>G53*(1-0)</f>
        <v>0</v>
      </c>
      <c r="AQ52" s="25" t="s">
        <v>7</v>
      </c>
      <c r="AV52" s="30">
        <f t="shared" si="134"/>
        <v>0</v>
      </c>
      <c r="AW52" s="30">
        <f>F53*AO52</f>
        <v>0</v>
      </c>
      <c r="AX52" s="30">
        <f>F53*AP52</f>
        <v>0</v>
      </c>
      <c r="AY52" s="31" t="s">
        <v>260</v>
      </c>
      <c r="AZ52" s="31" t="s">
        <v>271</v>
      </c>
      <c r="BA52" s="22" t="s">
        <v>274</v>
      </c>
      <c r="BC52" s="30">
        <f t="shared" si="135"/>
        <v>0</v>
      </c>
      <c r="BD52" s="30">
        <f>G53/(100-BE52)*100</f>
        <v>0</v>
      </c>
      <c r="BE52" s="30">
        <v>0</v>
      </c>
      <c r="BF52" s="30">
        <f>L53</f>
        <v>0</v>
      </c>
      <c r="BH52" s="14">
        <f>F53*AO52</f>
        <v>0</v>
      </c>
      <c r="BI52" s="14">
        <f>F53*AP52</f>
        <v>0</v>
      </c>
      <c r="BJ52" s="14">
        <f>F53*G53</f>
        <v>0</v>
      </c>
    </row>
    <row r="53" spans="1:47" s="89" customFormat="1" ht="12.75">
      <c r="A53" s="86" t="s">
        <v>48</v>
      </c>
      <c r="B53" s="86" t="s">
        <v>77</v>
      </c>
      <c r="C53" s="86" t="s">
        <v>89</v>
      </c>
      <c r="D53" s="86" t="s">
        <v>158</v>
      </c>
      <c r="E53" s="86" t="s">
        <v>225</v>
      </c>
      <c r="F53" s="102">
        <v>0.038</v>
      </c>
      <c r="G53" s="126">
        <v>0</v>
      </c>
      <c r="H53" s="87">
        <f>F53*AO52</f>
        <v>0</v>
      </c>
      <c r="I53" s="87">
        <f>F53*AP52</f>
        <v>0</v>
      </c>
      <c r="J53" s="87">
        <f t="shared" si="136"/>
        <v>0</v>
      </c>
      <c r="K53" s="87">
        <v>0</v>
      </c>
      <c r="L53" s="87">
        <f t="shared" si="137"/>
        <v>0</v>
      </c>
      <c r="M53" s="88" t="s">
        <v>247</v>
      </c>
      <c r="AI53" s="90" t="s">
        <v>77</v>
      </c>
      <c r="AS53" s="91">
        <f>SUM(AJ54:AJ62)</f>
        <v>0</v>
      </c>
      <c r="AT53" s="91">
        <f>SUM(AK54:AK62)</f>
        <v>0</v>
      </c>
      <c r="AU53" s="91" t="e">
        <f>SUM(AL54:AL62)</f>
        <v>#REF!</v>
      </c>
    </row>
    <row r="54" spans="1:62" ht="12.75">
      <c r="A54" s="3"/>
      <c r="B54" s="11" t="s">
        <v>77</v>
      </c>
      <c r="C54" s="11" t="s">
        <v>14</v>
      </c>
      <c r="D54" s="11" t="s">
        <v>159</v>
      </c>
      <c r="E54" s="3" t="s">
        <v>5</v>
      </c>
      <c r="F54" s="3" t="s">
        <v>5</v>
      </c>
      <c r="G54" s="3" t="s">
        <v>5</v>
      </c>
      <c r="H54" s="32" t="e">
        <f>SUM(H55:H63)</f>
        <v>#REF!</v>
      </c>
      <c r="I54" s="32" t="e">
        <f>SUM(I55:I63)</f>
        <v>#REF!</v>
      </c>
      <c r="J54" s="32">
        <f>SUM(J55:J63)</f>
        <v>0</v>
      </c>
      <c r="K54" s="22"/>
      <c r="L54" s="32">
        <f>SUM(L55:L63)</f>
        <v>1.15046</v>
      </c>
      <c r="M54" s="22"/>
      <c r="Z54" s="30">
        <f aca="true" t="shared" si="138" ref="Z54:Z62">IF(AQ54="5",BJ54,0)</f>
        <v>0</v>
      </c>
      <c r="AB54" s="30">
        <f aca="true" t="shared" si="139" ref="AB54:AB62">IF(AQ54="1",BH54,0)</f>
        <v>0</v>
      </c>
      <c r="AC54" s="30">
        <f aca="true" t="shared" si="140" ref="AC54:AC62">IF(AQ54="1",BI54,0)</f>
        <v>0</v>
      </c>
      <c r="AD54" s="30">
        <f aca="true" t="shared" si="141" ref="AD54:AD62">IF(AQ54="7",BH54,0)</f>
        <v>0</v>
      </c>
      <c r="AE54" s="30">
        <f aca="true" t="shared" si="142" ref="AE54:AE62">IF(AQ54="7",BI54,0)</f>
        <v>0</v>
      </c>
      <c r="AF54" s="30">
        <f aca="true" t="shared" si="143" ref="AF54:AF62">IF(AQ54="2",BH54,0)</f>
        <v>0</v>
      </c>
      <c r="AG54" s="30">
        <f aca="true" t="shared" si="144" ref="AG54:AG62">IF(AQ54="2",BI54,0)</f>
        <v>0</v>
      </c>
      <c r="AH54" s="30">
        <f aca="true" t="shared" si="145" ref="AH54:AH62">IF(AQ54="0",BJ54,0)</f>
        <v>0</v>
      </c>
      <c r="AI54" s="22" t="s">
        <v>77</v>
      </c>
      <c r="AJ54" s="14">
        <f aca="true" t="shared" si="146" ref="AJ54:AJ59">IF(AN54=0,J55,0)</f>
        <v>0</v>
      </c>
      <c r="AK54" s="14">
        <f aca="true" t="shared" si="147" ref="AK54:AK59">IF(AN54=15,J55,0)</f>
        <v>0</v>
      </c>
      <c r="AL54" s="14">
        <f aca="true" t="shared" si="148" ref="AL54:AL59">IF(AN54=21,J55,0)</f>
        <v>0</v>
      </c>
      <c r="AN54" s="30">
        <v>21</v>
      </c>
      <c r="AO54" s="30">
        <f>G55*0.373294460641399</f>
        <v>0</v>
      </c>
      <c r="AP54" s="30">
        <f>G55*(1-0.373294460641399)</f>
        <v>0</v>
      </c>
      <c r="AQ54" s="25" t="s">
        <v>8</v>
      </c>
      <c r="AV54" s="30">
        <f aca="true" t="shared" si="149" ref="AV54:AV62">AW54+AX54</f>
        <v>0</v>
      </c>
      <c r="AW54" s="30">
        <f aca="true" t="shared" si="150" ref="AW54:AW59">F55*AO54</f>
        <v>0</v>
      </c>
      <c r="AX54" s="30">
        <f aca="true" t="shared" si="151" ref="AX54:AX59">F55*AP54</f>
        <v>0</v>
      </c>
      <c r="AY54" s="31" t="s">
        <v>261</v>
      </c>
      <c r="AZ54" s="31" t="s">
        <v>271</v>
      </c>
      <c r="BA54" s="22" t="s">
        <v>274</v>
      </c>
      <c r="BC54" s="30">
        <f aca="true" t="shared" si="152" ref="BC54:BC62">AW54+AX54</f>
        <v>0</v>
      </c>
      <c r="BD54" s="30">
        <f aca="true" t="shared" si="153" ref="BD54:BD59">G55/(100-BE54)*100</f>
        <v>0</v>
      </c>
      <c r="BE54" s="30">
        <v>0</v>
      </c>
      <c r="BF54" s="30">
        <f aca="true" t="shared" si="154" ref="BF54:BF59">L55</f>
        <v>0</v>
      </c>
      <c r="BH54" s="14">
        <f aca="true" t="shared" si="155" ref="BH54:BH59">F55*AO54</f>
        <v>0</v>
      </c>
      <c r="BI54" s="14">
        <f aca="true" t="shared" si="156" ref="BI54:BI59">F55*AP54</f>
        <v>0</v>
      </c>
      <c r="BJ54" s="14">
        <f aca="true" t="shared" si="157" ref="BJ54:BJ59">F55*G55</f>
        <v>0</v>
      </c>
    </row>
    <row r="55" spans="1:62" ht="12.75">
      <c r="A55" s="4" t="s">
        <v>49</v>
      </c>
      <c r="B55" s="4" t="s">
        <v>77</v>
      </c>
      <c r="C55" s="4" t="s">
        <v>90</v>
      </c>
      <c r="D55" s="4" t="s">
        <v>160</v>
      </c>
      <c r="E55" s="4" t="s">
        <v>228</v>
      </c>
      <c r="F55" s="54">
        <v>70.9</v>
      </c>
      <c r="G55" s="123">
        <v>0</v>
      </c>
      <c r="H55" s="14">
        <f aca="true" t="shared" si="158" ref="H55:H60">F55*AO54</f>
        <v>0</v>
      </c>
      <c r="I55" s="14">
        <f aca="true" t="shared" si="159" ref="I55:I60">F55*AP54</f>
        <v>0</v>
      </c>
      <c r="J55" s="14">
        <f>F55*G55</f>
        <v>0</v>
      </c>
      <c r="K55" s="14">
        <v>0</v>
      </c>
      <c r="L55" s="14">
        <f aca="true" t="shared" si="160" ref="L55:L63">F55*K55</f>
        <v>0</v>
      </c>
      <c r="M55" s="25" t="s">
        <v>247</v>
      </c>
      <c r="Z55" s="30">
        <f t="shared" si="138"/>
        <v>0</v>
      </c>
      <c r="AB55" s="30">
        <f t="shared" si="139"/>
        <v>0</v>
      </c>
      <c r="AC55" s="30">
        <f t="shared" si="140"/>
        <v>0</v>
      </c>
      <c r="AD55" s="30">
        <f t="shared" si="141"/>
        <v>0</v>
      </c>
      <c r="AE55" s="30">
        <f t="shared" si="142"/>
        <v>0</v>
      </c>
      <c r="AF55" s="30">
        <f t="shared" si="143"/>
        <v>0</v>
      </c>
      <c r="AG55" s="30">
        <f t="shared" si="144"/>
        <v>0</v>
      </c>
      <c r="AH55" s="30">
        <f t="shared" si="145"/>
        <v>0</v>
      </c>
      <c r="AI55" s="22" t="s">
        <v>77</v>
      </c>
      <c r="AJ55" s="14">
        <f t="shared" si="146"/>
        <v>0</v>
      </c>
      <c r="AK55" s="14">
        <f t="shared" si="147"/>
        <v>0</v>
      </c>
      <c r="AL55" s="14">
        <f t="shared" si="148"/>
        <v>0</v>
      </c>
      <c r="AN55" s="30">
        <v>21</v>
      </c>
      <c r="AO55" s="30">
        <f>G56*0.362741258890705</f>
        <v>0</v>
      </c>
      <c r="AP55" s="30">
        <f>G56*(1-0.362741258890705)</f>
        <v>0</v>
      </c>
      <c r="AQ55" s="25" t="s">
        <v>8</v>
      </c>
      <c r="AV55" s="30">
        <f t="shared" si="149"/>
        <v>0</v>
      </c>
      <c r="AW55" s="30">
        <f t="shared" si="150"/>
        <v>0</v>
      </c>
      <c r="AX55" s="30">
        <f t="shared" si="151"/>
        <v>0</v>
      </c>
      <c r="AY55" s="31" t="s">
        <v>261</v>
      </c>
      <c r="AZ55" s="31" t="s">
        <v>271</v>
      </c>
      <c r="BA55" s="22" t="s">
        <v>274</v>
      </c>
      <c r="BC55" s="30">
        <f t="shared" si="152"/>
        <v>0</v>
      </c>
      <c r="BD55" s="30">
        <f t="shared" si="153"/>
        <v>0</v>
      </c>
      <c r="BE55" s="30">
        <v>0</v>
      </c>
      <c r="BF55" s="30">
        <f t="shared" si="154"/>
        <v>0.00228</v>
      </c>
      <c r="BH55" s="14">
        <f t="shared" si="155"/>
        <v>0</v>
      </c>
      <c r="BI55" s="14">
        <f t="shared" si="156"/>
        <v>0</v>
      </c>
      <c r="BJ55" s="14">
        <f t="shared" si="157"/>
        <v>0</v>
      </c>
    </row>
    <row r="56" spans="1:62" ht="12.75">
      <c r="A56" s="4" t="s">
        <v>50</v>
      </c>
      <c r="B56" s="4" t="s">
        <v>77</v>
      </c>
      <c r="C56" s="4" t="s">
        <v>91</v>
      </c>
      <c r="D56" s="4" t="s">
        <v>161</v>
      </c>
      <c r="E56" s="4" t="s">
        <v>228</v>
      </c>
      <c r="F56" s="54">
        <v>19</v>
      </c>
      <c r="G56" s="123">
        <v>0</v>
      </c>
      <c r="H56" s="14">
        <f t="shared" si="158"/>
        <v>0</v>
      </c>
      <c r="I56" s="14">
        <f t="shared" si="159"/>
        <v>0</v>
      </c>
      <c r="J56" s="14">
        <f aca="true" t="shared" si="161" ref="J56:J61">F56*G56</f>
        <v>0</v>
      </c>
      <c r="K56" s="14">
        <v>0.00012</v>
      </c>
      <c r="L56" s="14">
        <f t="shared" si="160"/>
        <v>0.00228</v>
      </c>
      <c r="M56" s="25" t="s">
        <v>247</v>
      </c>
      <c r="Z56" s="30">
        <f t="shared" si="138"/>
        <v>0</v>
      </c>
      <c r="AB56" s="30">
        <f t="shared" si="139"/>
        <v>0</v>
      </c>
      <c r="AC56" s="30">
        <f t="shared" si="140"/>
        <v>0</v>
      </c>
      <c r="AD56" s="30">
        <f t="shared" si="141"/>
        <v>0</v>
      </c>
      <c r="AE56" s="30">
        <f t="shared" si="142"/>
        <v>0</v>
      </c>
      <c r="AF56" s="30">
        <f t="shared" si="143"/>
        <v>0</v>
      </c>
      <c r="AG56" s="30">
        <f t="shared" si="144"/>
        <v>0</v>
      </c>
      <c r="AH56" s="30">
        <f t="shared" si="145"/>
        <v>0</v>
      </c>
      <c r="AI56" s="22" t="s">
        <v>77</v>
      </c>
      <c r="AJ56" s="14">
        <f t="shared" si="146"/>
        <v>0</v>
      </c>
      <c r="AK56" s="14">
        <f t="shared" si="147"/>
        <v>0</v>
      </c>
      <c r="AL56" s="14">
        <f t="shared" si="148"/>
        <v>0</v>
      </c>
      <c r="AN56" s="30">
        <v>21</v>
      </c>
      <c r="AO56" s="30">
        <f>G57*0.258090514569126</f>
        <v>0</v>
      </c>
      <c r="AP56" s="30">
        <f>G57*(1-0.258090514569126)</f>
        <v>0</v>
      </c>
      <c r="AQ56" s="25" t="s">
        <v>8</v>
      </c>
      <c r="AV56" s="30">
        <f t="shared" si="149"/>
        <v>0</v>
      </c>
      <c r="AW56" s="30">
        <f t="shared" si="150"/>
        <v>0</v>
      </c>
      <c r="AX56" s="30">
        <f t="shared" si="151"/>
        <v>0</v>
      </c>
      <c r="AY56" s="31" t="s">
        <v>261</v>
      </c>
      <c r="AZ56" s="31" t="s">
        <v>271</v>
      </c>
      <c r="BA56" s="22" t="s">
        <v>274</v>
      </c>
      <c r="BC56" s="30">
        <f t="shared" si="152"/>
        <v>0</v>
      </c>
      <c r="BD56" s="30">
        <f t="shared" si="153"/>
        <v>0</v>
      </c>
      <c r="BE56" s="30">
        <v>0</v>
      </c>
      <c r="BF56" s="30">
        <f t="shared" si="154"/>
        <v>0.00478</v>
      </c>
      <c r="BH56" s="14">
        <f t="shared" si="155"/>
        <v>0</v>
      </c>
      <c r="BI56" s="14">
        <f t="shared" si="156"/>
        <v>0</v>
      </c>
      <c r="BJ56" s="14">
        <f t="shared" si="157"/>
        <v>0</v>
      </c>
    </row>
    <row r="57" spans="1:62" ht="12.75">
      <c r="A57" s="4" t="s">
        <v>51</v>
      </c>
      <c r="B57" s="4" t="s">
        <v>77</v>
      </c>
      <c r="C57" s="4" t="s">
        <v>128</v>
      </c>
      <c r="D57" s="4" t="s">
        <v>204</v>
      </c>
      <c r="E57" s="4" t="s">
        <v>227</v>
      </c>
      <c r="F57" s="54">
        <v>2</v>
      </c>
      <c r="G57" s="123">
        <v>0</v>
      </c>
      <c r="H57" s="14">
        <f t="shared" si="158"/>
        <v>0</v>
      </c>
      <c r="I57" s="14">
        <f t="shared" si="159"/>
        <v>0</v>
      </c>
      <c r="J57" s="14">
        <f t="shared" si="161"/>
        <v>0</v>
      </c>
      <c r="K57" s="14">
        <v>0.00239</v>
      </c>
      <c r="L57" s="14">
        <f t="shared" si="160"/>
        <v>0.00478</v>
      </c>
      <c r="M57" s="25" t="s">
        <v>247</v>
      </c>
      <c r="Z57" s="30">
        <f t="shared" si="138"/>
        <v>0</v>
      </c>
      <c r="AB57" s="30">
        <f t="shared" si="139"/>
        <v>0</v>
      </c>
      <c r="AC57" s="30">
        <f t="shared" si="140"/>
        <v>0</v>
      </c>
      <c r="AD57" s="30">
        <f t="shared" si="141"/>
        <v>0</v>
      </c>
      <c r="AE57" s="30">
        <f t="shared" si="142"/>
        <v>0</v>
      </c>
      <c r="AF57" s="30">
        <f t="shared" si="143"/>
        <v>0</v>
      </c>
      <c r="AG57" s="30">
        <f t="shared" si="144"/>
        <v>0</v>
      </c>
      <c r="AH57" s="30">
        <f t="shared" si="145"/>
        <v>0</v>
      </c>
      <c r="AI57" s="22" t="s">
        <v>77</v>
      </c>
      <c r="AJ57" s="15">
        <f t="shared" si="146"/>
        <v>0</v>
      </c>
      <c r="AK57" s="15">
        <f t="shared" si="147"/>
        <v>0</v>
      </c>
      <c r="AL57" s="15">
        <f t="shared" si="148"/>
        <v>0</v>
      </c>
      <c r="AN57" s="30">
        <v>21</v>
      </c>
      <c r="AO57" s="30">
        <f>G58*1</f>
        <v>0</v>
      </c>
      <c r="AP57" s="30">
        <f>G58*(1-1)</f>
        <v>0</v>
      </c>
      <c r="AQ57" s="26" t="s">
        <v>8</v>
      </c>
      <c r="AV57" s="30">
        <f t="shared" si="149"/>
        <v>0</v>
      </c>
      <c r="AW57" s="30">
        <f t="shared" si="150"/>
        <v>0</v>
      </c>
      <c r="AX57" s="30">
        <f t="shared" si="151"/>
        <v>0</v>
      </c>
      <c r="AY57" s="31" t="s">
        <v>261</v>
      </c>
      <c r="AZ57" s="31" t="s">
        <v>271</v>
      </c>
      <c r="BA57" s="22" t="s">
        <v>274</v>
      </c>
      <c r="BC57" s="30">
        <f t="shared" si="152"/>
        <v>0</v>
      </c>
      <c r="BD57" s="30">
        <f t="shared" si="153"/>
        <v>0</v>
      </c>
      <c r="BE57" s="30">
        <v>0</v>
      </c>
      <c r="BF57" s="30">
        <f t="shared" si="154"/>
        <v>0.0444</v>
      </c>
      <c r="BH57" s="15">
        <f t="shared" si="155"/>
        <v>0</v>
      </c>
      <c r="BI57" s="15">
        <f t="shared" si="156"/>
        <v>0</v>
      </c>
      <c r="BJ57" s="15">
        <f t="shared" si="157"/>
        <v>0</v>
      </c>
    </row>
    <row r="58" spans="1:62" ht="12.75">
      <c r="A58" s="5" t="s">
        <v>52</v>
      </c>
      <c r="B58" s="5" t="s">
        <v>77</v>
      </c>
      <c r="C58" s="5" t="s">
        <v>129</v>
      </c>
      <c r="D58" s="5" t="s">
        <v>205</v>
      </c>
      <c r="E58" s="5" t="s">
        <v>227</v>
      </c>
      <c r="F58" s="55">
        <v>2</v>
      </c>
      <c r="G58" s="127">
        <v>0</v>
      </c>
      <c r="H58" s="15">
        <f t="shared" si="158"/>
        <v>0</v>
      </c>
      <c r="I58" s="15">
        <f t="shared" si="159"/>
        <v>0</v>
      </c>
      <c r="J58" s="15">
        <f t="shared" si="161"/>
        <v>0</v>
      </c>
      <c r="K58" s="15">
        <v>0.0222</v>
      </c>
      <c r="L58" s="15">
        <f t="shared" si="160"/>
        <v>0.0444</v>
      </c>
      <c r="M58" s="26" t="s">
        <v>247</v>
      </c>
      <c r="Z58" s="30">
        <f t="shared" si="138"/>
        <v>0</v>
      </c>
      <c r="AB58" s="30">
        <f t="shared" si="139"/>
        <v>0</v>
      </c>
      <c r="AC58" s="30">
        <f t="shared" si="140"/>
        <v>0</v>
      </c>
      <c r="AD58" s="30">
        <f t="shared" si="141"/>
        <v>0</v>
      </c>
      <c r="AE58" s="30">
        <f t="shared" si="142"/>
        <v>0</v>
      </c>
      <c r="AF58" s="30">
        <f t="shared" si="143"/>
        <v>0</v>
      </c>
      <c r="AG58" s="30">
        <f t="shared" si="144"/>
        <v>0</v>
      </c>
      <c r="AH58" s="30">
        <f t="shared" si="145"/>
        <v>0</v>
      </c>
      <c r="AI58" s="22" t="s">
        <v>77</v>
      </c>
      <c r="AJ58" s="14">
        <f t="shared" si="146"/>
        <v>0</v>
      </c>
      <c r="AK58" s="14">
        <f t="shared" si="147"/>
        <v>0</v>
      </c>
      <c r="AL58" s="14">
        <f t="shared" si="148"/>
        <v>0</v>
      </c>
      <c r="AN58" s="30">
        <v>21</v>
      </c>
      <c r="AO58" s="30">
        <f>G59*0.309469734867434</f>
        <v>0</v>
      </c>
      <c r="AP58" s="30">
        <f>G59*(1-0.309469734867434)</f>
        <v>0</v>
      </c>
      <c r="AQ58" s="25" t="s">
        <v>8</v>
      </c>
      <c r="AV58" s="30">
        <f t="shared" si="149"/>
        <v>0</v>
      </c>
      <c r="AW58" s="30">
        <f t="shared" si="150"/>
        <v>0</v>
      </c>
      <c r="AX58" s="30">
        <f t="shared" si="151"/>
        <v>0</v>
      </c>
      <c r="AY58" s="31" t="s">
        <v>261</v>
      </c>
      <c r="AZ58" s="31" t="s">
        <v>271</v>
      </c>
      <c r="BA58" s="22" t="s">
        <v>274</v>
      </c>
      <c r="BC58" s="30">
        <f t="shared" si="152"/>
        <v>0</v>
      </c>
      <c r="BD58" s="30">
        <f t="shared" si="153"/>
        <v>0</v>
      </c>
      <c r="BE58" s="30">
        <v>0</v>
      </c>
      <c r="BF58" s="30">
        <f t="shared" si="154"/>
        <v>0.0163</v>
      </c>
      <c r="BH58" s="14">
        <f t="shared" si="155"/>
        <v>0</v>
      </c>
      <c r="BI58" s="14">
        <f t="shared" si="156"/>
        <v>0</v>
      </c>
      <c r="BJ58" s="14">
        <f t="shared" si="157"/>
        <v>0</v>
      </c>
    </row>
    <row r="59" spans="1:62" ht="12.75">
      <c r="A59" s="4" t="s">
        <v>53</v>
      </c>
      <c r="B59" s="4" t="s">
        <v>77</v>
      </c>
      <c r="C59" s="4" t="s">
        <v>130</v>
      </c>
      <c r="D59" s="4" t="s">
        <v>206</v>
      </c>
      <c r="E59" s="4" t="s">
        <v>227</v>
      </c>
      <c r="F59" s="54">
        <v>5</v>
      </c>
      <c r="G59" s="123">
        <v>0</v>
      </c>
      <c r="H59" s="14">
        <f t="shared" si="158"/>
        <v>0</v>
      </c>
      <c r="I59" s="14">
        <f t="shared" si="159"/>
        <v>0</v>
      </c>
      <c r="J59" s="14">
        <f t="shared" si="161"/>
        <v>0</v>
      </c>
      <c r="K59" s="14">
        <v>0.00326</v>
      </c>
      <c r="L59" s="14">
        <f t="shared" si="160"/>
        <v>0.0163</v>
      </c>
      <c r="M59" s="25" t="s">
        <v>247</v>
      </c>
      <c r="Z59" s="30">
        <f t="shared" si="138"/>
        <v>0</v>
      </c>
      <c r="AB59" s="30">
        <f t="shared" si="139"/>
        <v>0</v>
      </c>
      <c r="AC59" s="30">
        <f t="shared" si="140"/>
        <v>0</v>
      </c>
      <c r="AD59" s="30">
        <f t="shared" si="141"/>
        <v>0</v>
      </c>
      <c r="AE59" s="30">
        <f t="shared" si="142"/>
        <v>0</v>
      </c>
      <c r="AF59" s="30">
        <f t="shared" si="143"/>
        <v>0</v>
      </c>
      <c r="AG59" s="30">
        <f t="shared" si="144"/>
        <v>0</v>
      </c>
      <c r="AH59" s="30">
        <f t="shared" si="145"/>
        <v>0</v>
      </c>
      <c r="AI59" s="22" t="s">
        <v>77</v>
      </c>
      <c r="AJ59" s="15">
        <f t="shared" si="146"/>
        <v>0</v>
      </c>
      <c r="AK59" s="15">
        <f t="shared" si="147"/>
        <v>0</v>
      </c>
      <c r="AL59" s="15">
        <f t="shared" si="148"/>
        <v>0</v>
      </c>
      <c r="AN59" s="30">
        <v>21</v>
      </c>
      <c r="AO59" s="30">
        <f>G60*1</f>
        <v>0</v>
      </c>
      <c r="AP59" s="30">
        <f>G60*(1-1)</f>
        <v>0</v>
      </c>
      <c r="AQ59" s="26" t="s">
        <v>8</v>
      </c>
      <c r="AV59" s="30">
        <f t="shared" si="149"/>
        <v>0</v>
      </c>
      <c r="AW59" s="30">
        <f t="shared" si="150"/>
        <v>0</v>
      </c>
      <c r="AX59" s="30">
        <f t="shared" si="151"/>
        <v>0</v>
      </c>
      <c r="AY59" s="31" t="s">
        <v>261</v>
      </c>
      <c r="AZ59" s="31" t="s">
        <v>271</v>
      </c>
      <c r="BA59" s="22" t="s">
        <v>274</v>
      </c>
      <c r="BC59" s="30">
        <f t="shared" si="152"/>
        <v>0</v>
      </c>
      <c r="BD59" s="30">
        <f t="shared" si="153"/>
        <v>0</v>
      </c>
      <c r="BE59" s="30">
        <v>0</v>
      </c>
      <c r="BF59" s="30">
        <f t="shared" si="154"/>
        <v>0.265</v>
      </c>
      <c r="BH59" s="15">
        <f t="shared" si="155"/>
        <v>0</v>
      </c>
      <c r="BI59" s="15">
        <f t="shared" si="156"/>
        <v>0</v>
      </c>
      <c r="BJ59" s="15">
        <f t="shared" si="157"/>
        <v>0</v>
      </c>
    </row>
    <row r="60" spans="1:62" ht="12.75">
      <c r="A60" s="5" t="s">
        <v>54</v>
      </c>
      <c r="B60" s="5" t="s">
        <v>77</v>
      </c>
      <c r="C60" s="5" t="s">
        <v>131</v>
      </c>
      <c r="D60" s="5" t="s">
        <v>207</v>
      </c>
      <c r="E60" s="5" t="s">
        <v>227</v>
      </c>
      <c r="F60" s="55">
        <v>5</v>
      </c>
      <c r="G60" s="127">
        <v>0</v>
      </c>
      <c r="H60" s="15">
        <f t="shared" si="158"/>
        <v>0</v>
      </c>
      <c r="I60" s="15">
        <f t="shared" si="159"/>
        <v>0</v>
      </c>
      <c r="J60" s="15">
        <f t="shared" si="161"/>
        <v>0</v>
      </c>
      <c r="K60" s="15">
        <v>0.053</v>
      </c>
      <c r="L60" s="15">
        <f t="shared" si="160"/>
        <v>0.265</v>
      </c>
      <c r="M60" s="26" t="s">
        <v>247</v>
      </c>
      <c r="Z60" s="30">
        <f t="shared" si="138"/>
        <v>0</v>
      </c>
      <c r="AB60" s="30">
        <f t="shared" si="139"/>
        <v>0</v>
      </c>
      <c r="AC60" s="30">
        <f t="shared" si="140"/>
        <v>0</v>
      </c>
      <c r="AD60" s="30" t="e">
        <f t="shared" si="141"/>
        <v>#REF!</v>
      </c>
      <c r="AE60" s="30" t="e">
        <f t="shared" si="142"/>
        <v>#REF!</v>
      </c>
      <c r="AF60" s="30">
        <f t="shared" si="143"/>
        <v>0</v>
      </c>
      <c r="AG60" s="30">
        <f t="shared" si="144"/>
        <v>0</v>
      </c>
      <c r="AH60" s="30">
        <f t="shared" si="145"/>
        <v>0</v>
      </c>
      <c r="AI60" s="22" t="s">
        <v>77</v>
      </c>
      <c r="AJ60" s="15">
        <f>IF(AN60=0,#REF!,0)</f>
        <v>0</v>
      </c>
      <c r="AK60" s="15">
        <f>IF(AN60=15,#REF!,0)</f>
        <v>0</v>
      </c>
      <c r="AL60" s="15" t="e">
        <f>IF(AN60=21,#REF!,0)</f>
        <v>#REF!</v>
      </c>
      <c r="AN60" s="30">
        <v>21</v>
      </c>
      <c r="AO60" s="30" t="e">
        <f>#REF!*1</f>
        <v>#REF!</v>
      </c>
      <c r="AP60" s="30" t="e">
        <f>#REF!*(1-1)</f>
        <v>#REF!</v>
      </c>
      <c r="AQ60" s="26" t="s">
        <v>8</v>
      </c>
      <c r="AV60" s="30" t="e">
        <f t="shared" si="149"/>
        <v>#REF!</v>
      </c>
      <c r="AW60" s="30" t="e">
        <f>#REF!*AO60</f>
        <v>#REF!</v>
      </c>
      <c r="AX60" s="30" t="e">
        <f>#REF!*AP60</f>
        <v>#REF!</v>
      </c>
      <c r="AY60" s="31" t="s">
        <v>261</v>
      </c>
      <c r="AZ60" s="31" t="s">
        <v>271</v>
      </c>
      <c r="BA60" s="22" t="s">
        <v>274</v>
      </c>
      <c r="BC60" s="30" t="e">
        <f t="shared" si="152"/>
        <v>#REF!</v>
      </c>
      <c r="BD60" s="30" t="e">
        <f>#REF!/(100-BE60)*100</f>
        <v>#REF!</v>
      </c>
      <c r="BE60" s="30">
        <v>0</v>
      </c>
      <c r="BF60" s="30" t="e">
        <f>#REF!</f>
        <v>#REF!</v>
      </c>
      <c r="BH60" s="15" t="e">
        <f>#REF!*AO60</f>
        <v>#REF!</v>
      </c>
      <c r="BI60" s="15" t="e">
        <f>#REF!*AP60</f>
        <v>#REF!</v>
      </c>
      <c r="BJ60" s="15" t="e">
        <f>#REF!*#REF!</f>
        <v>#REF!</v>
      </c>
    </row>
    <row r="61" spans="1:62" ht="12.75">
      <c r="A61" s="4" t="s">
        <v>55</v>
      </c>
      <c r="B61" s="4" t="s">
        <v>77</v>
      </c>
      <c r="C61" s="4" t="s">
        <v>132</v>
      </c>
      <c r="D61" s="4" t="s">
        <v>208</v>
      </c>
      <c r="E61" s="4" t="s">
        <v>227</v>
      </c>
      <c r="F61" s="54">
        <v>10</v>
      </c>
      <c r="G61" s="123">
        <v>0</v>
      </c>
      <c r="H61" s="14" t="e">
        <f>F61*#REF!</f>
        <v>#REF!</v>
      </c>
      <c r="I61" s="14" t="e">
        <f>F61*#REF!</f>
        <v>#REF!</v>
      </c>
      <c r="J61" s="14">
        <f t="shared" si="161"/>
        <v>0</v>
      </c>
      <c r="K61" s="14">
        <v>0.00407</v>
      </c>
      <c r="L61" s="14">
        <f t="shared" si="160"/>
        <v>0.0407</v>
      </c>
      <c r="M61" s="25" t="s">
        <v>247</v>
      </c>
      <c r="Z61" s="30">
        <f t="shared" si="138"/>
        <v>0</v>
      </c>
      <c r="AB61" s="30">
        <f t="shared" si="139"/>
        <v>0</v>
      </c>
      <c r="AC61" s="30">
        <f t="shared" si="140"/>
        <v>0</v>
      </c>
      <c r="AD61" s="30">
        <f t="shared" si="141"/>
        <v>0</v>
      </c>
      <c r="AE61" s="30">
        <f t="shared" si="142"/>
        <v>0</v>
      </c>
      <c r="AF61" s="30">
        <f t="shared" si="143"/>
        <v>0</v>
      </c>
      <c r="AG61" s="30">
        <f t="shared" si="144"/>
        <v>0</v>
      </c>
      <c r="AH61" s="30">
        <f t="shared" si="145"/>
        <v>0</v>
      </c>
      <c r="AI61" s="22" t="s">
        <v>77</v>
      </c>
      <c r="AJ61" s="15">
        <f>IF(AN61=0,J62,0)</f>
        <v>0</v>
      </c>
      <c r="AK61" s="15">
        <f>IF(AN61=15,J62,0)</f>
        <v>0</v>
      </c>
      <c r="AL61" s="15">
        <f>IF(AN61=21,J62,0)</f>
        <v>0</v>
      </c>
      <c r="AN61" s="30">
        <v>21</v>
      </c>
      <c r="AO61" s="30">
        <f>G62*1</f>
        <v>0</v>
      </c>
      <c r="AP61" s="30">
        <f>G62*(1-1)</f>
        <v>0</v>
      </c>
      <c r="AQ61" s="26" t="s">
        <v>8</v>
      </c>
      <c r="AV61" s="30">
        <f t="shared" si="149"/>
        <v>0</v>
      </c>
      <c r="AW61" s="30">
        <f>F62*AO61</f>
        <v>0</v>
      </c>
      <c r="AX61" s="30">
        <f>F62*AP61</f>
        <v>0</v>
      </c>
      <c r="AY61" s="31" t="s">
        <v>261</v>
      </c>
      <c r="AZ61" s="31" t="s">
        <v>271</v>
      </c>
      <c r="BA61" s="22" t="s">
        <v>274</v>
      </c>
      <c r="BC61" s="30">
        <f t="shared" si="152"/>
        <v>0</v>
      </c>
      <c r="BD61" s="30">
        <f>G62/(100-BE61)*100</f>
        <v>0</v>
      </c>
      <c r="BE61" s="30">
        <v>0</v>
      </c>
      <c r="BF61" s="30">
        <f>L62</f>
        <v>0.777</v>
      </c>
      <c r="BH61" s="15">
        <f>F62*AO61</f>
        <v>0</v>
      </c>
      <c r="BI61" s="15">
        <f>F62*AP61</f>
        <v>0</v>
      </c>
      <c r="BJ61" s="15">
        <f>F62*G62</f>
        <v>0</v>
      </c>
    </row>
    <row r="62" spans="1:62" ht="12.75">
      <c r="A62" s="5" t="s">
        <v>56</v>
      </c>
      <c r="B62" s="5" t="s">
        <v>77</v>
      </c>
      <c r="C62" s="5" t="s">
        <v>133</v>
      </c>
      <c r="D62" s="5" t="s">
        <v>209</v>
      </c>
      <c r="E62" s="5" t="s">
        <v>227</v>
      </c>
      <c r="F62" s="55">
        <v>10</v>
      </c>
      <c r="G62" s="127">
        <v>0</v>
      </c>
      <c r="H62" s="15">
        <f>F62*AO61</f>
        <v>0</v>
      </c>
      <c r="I62" s="15">
        <f>F62*AP61</f>
        <v>0</v>
      </c>
      <c r="J62" s="15">
        <f>F62*G62</f>
        <v>0</v>
      </c>
      <c r="K62" s="15">
        <v>0.0777</v>
      </c>
      <c r="L62" s="15">
        <f t="shared" si="160"/>
        <v>0.777</v>
      </c>
      <c r="M62" s="26" t="s">
        <v>247</v>
      </c>
      <c r="Z62" s="30">
        <f t="shared" si="138"/>
        <v>0</v>
      </c>
      <c r="AB62" s="30">
        <f t="shared" si="139"/>
        <v>0</v>
      </c>
      <c r="AC62" s="30">
        <f t="shared" si="140"/>
        <v>0</v>
      </c>
      <c r="AD62" s="30">
        <f t="shared" si="141"/>
        <v>0</v>
      </c>
      <c r="AE62" s="30">
        <f t="shared" si="142"/>
        <v>0</v>
      </c>
      <c r="AF62" s="30">
        <f t="shared" si="143"/>
        <v>0</v>
      </c>
      <c r="AG62" s="30">
        <f t="shared" si="144"/>
        <v>0</v>
      </c>
      <c r="AH62" s="30">
        <f t="shared" si="145"/>
        <v>0</v>
      </c>
      <c r="AI62" s="22" t="s">
        <v>77</v>
      </c>
      <c r="AJ62" s="14">
        <f>IF(AN62=0,J63,0)</f>
        <v>0</v>
      </c>
      <c r="AK62" s="14">
        <f>IF(AN62=15,J63,0)</f>
        <v>0</v>
      </c>
      <c r="AL62" s="14">
        <f>IF(AN62=21,J63,0)</f>
        <v>0</v>
      </c>
      <c r="AN62" s="30">
        <v>21</v>
      </c>
      <c r="AO62" s="30">
        <f>G63*0</f>
        <v>0</v>
      </c>
      <c r="AP62" s="30">
        <f>G63*(1-0)</f>
        <v>0</v>
      </c>
      <c r="AQ62" s="25" t="s">
        <v>7</v>
      </c>
      <c r="AV62" s="30">
        <f t="shared" si="149"/>
        <v>0</v>
      </c>
      <c r="AW62" s="30">
        <f>F63*AO62</f>
        <v>0</v>
      </c>
      <c r="AX62" s="30">
        <f>F63*AP62</f>
        <v>0</v>
      </c>
      <c r="AY62" s="31" t="s">
        <v>261</v>
      </c>
      <c r="AZ62" s="31" t="s">
        <v>271</v>
      </c>
      <c r="BA62" s="22" t="s">
        <v>274</v>
      </c>
      <c r="BC62" s="30">
        <f t="shared" si="152"/>
        <v>0</v>
      </c>
      <c r="BD62" s="30">
        <f>G63/(100-BE62)*100</f>
        <v>0</v>
      </c>
      <c r="BE62" s="30">
        <v>0</v>
      </c>
      <c r="BF62" s="30">
        <f>L63</f>
        <v>0</v>
      </c>
      <c r="BH62" s="14">
        <f>F63*AO62</f>
        <v>0</v>
      </c>
      <c r="BI62" s="14">
        <f>F63*AP62</f>
        <v>0</v>
      </c>
      <c r="BJ62" s="14">
        <f>F63*G63</f>
        <v>0</v>
      </c>
    </row>
    <row r="63" spans="1:47" ht="12.75">
      <c r="A63" s="4" t="s">
        <v>57</v>
      </c>
      <c r="B63" s="83" t="s">
        <v>77</v>
      </c>
      <c r="C63" s="83" t="s">
        <v>92</v>
      </c>
      <c r="D63" s="83" t="s">
        <v>162</v>
      </c>
      <c r="E63" s="83" t="s">
        <v>225</v>
      </c>
      <c r="F63" s="102">
        <v>0.734</v>
      </c>
      <c r="G63" s="126">
        <v>0</v>
      </c>
      <c r="H63" s="84">
        <f>F63*AO62</f>
        <v>0</v>
      </c>
      <c r="I63" s="84">
        <f>F63*AP62</f>
        <v>0</v>
      </c>
      <c r="J63" s="84">
        <f>F63*G63</f>
        <v>0</v>
      </c>
      <c r="K63" s="84">
        <v>0</v>
      </c>
      <c r="L63" s="84">
        <f t="shared" si="160"/>
        <v>0</v>
      </c>
      <c r="M63" s="85" t="s">
        <v>247</v>
      </c>
      <c r="AI63" s="22" t="s">
        <v>77</v>
      </c>
      <c r="AS63" s="32">
        <f>SUM(AJ65:AJ66)</f>
        <v>0</v>
      </c>
      <c r="AT63" s="32">
        <f>SUM(AK65:AK66)</f>
        <v>0</v>
      </c>
      <c r="AU63" s="32">
        <f>SUM(AL65:AL66)</f>
        <v>0</v>
      </c>
    </row>
    <row r="64" spans="1:47" ht="12.75">
      <c r="A64" s="3"/>
      <c r="B64" s="11" t="s">
        <v>77</v>
      </c>
      <c r="C64" s="11" t="s">
        <v>15</v>
      </c>
      <c r="D64" s="11" t="s">
        <v>163</v>
      </c>
      <c r="E64" s="3" t="s">
        <v>5</v>
      </c>
      <c r="F64" s="3" t="s">
        <v>5</v>
      </c>
      <c r="G64" s="3" t="s">
        <v>5</v>
      </c>
      <c r="H64" s="32">
        <f>SUM(H66:H67)</f>
        <v>0</v>
      </c>
      <c r="I64" s="32">
        <f>SUM(I66:I67)</f>
        <v>0</v>
      </c>
      <c r="J64" s="32">
        <f>SUM(J65:J67)</f>
        <v>0</v>
      </c>
      <c r="K64" s="22"/>
      <c r="L64" s="32">
        <f>SUM(L66:L67)</f>
        <v>0</v>
      </c>
      <c r="M64" s="22"/>
      <c r="AI64" s="22"/>
      <c r="AS64" s="32"/>
      <c r="AT64" s="32"/>
      <c r="AU64" s="32"/>
    </row>
    <row r="65" spans="1:62" ht="12.75">
      <c r="A65" s="71" t="s">
        <v>338</v>
      </c>
      <c r="B65" s="71" t="s">
        <v>77</v>
      </c>
      <c r="C65" s="71" t="s">
        <v>329</v>
      </c>
      <c r="D65" s="71" t="s">
        <v>330</v>
      </c>
      <c r="E65" s="71" t="s">
        <v>226</v>
      </c>
      <c r="F65" s="54">
        <v>2.9</v>
      </c>
      <c r="G65" s="123">
        <v>0</v>
      </c>
      <c r="H65" s="72"/>
      <c r="I65" s="72"/>
      <c r="J65" s="14">
        <f aca="true" t="shared" si="162" ref="J65:J67">F65*G65</f>
        <v>0</v>
      </c>
      <c r="K65" s="73"/>
      <c r="L65" s="72"/>
      <c r="M65" s="73"/>
      <c r="Z65" s="30"/>
      <c r="AB65" s="30"/>
      <c r="AC65" s="30"/>
      <c r="AD65" s="30"/>
      <c r="AE65" s="30"/>
      <c r="AF65" s="30"/>
      <c r="AG65" s="30"/>
      <c r="AH65" s="30"/>
      <c r="AI65" s="22"/>
      <c r="AJ65" s="14"/>
      <c r="AK65" s="14"/>
      <c r="AL65" s="14"/>
      <c r="AN65" s="30"/>
      <c r="AO65" s="30"/>
      <c r="AP65" s="30"/>
      <c r="AQ65" s="25"/>
      <c r="AV65" s="30"/>
      <c r="AW65" s="30"/>
      <c r="AX65" s="30"/>
      <c r="AY65" s="31"/>
      <c r="AZ65" s="31"/>
      <c r="BA65" s="22"/>
      <c r="BC65" s="30"/>
      <c r="BD65" s="30"/>
      <c r="BE65" s="30"/>
      <c r="BF65" s="30"/>
      <c r="BH65" s="14"/>
      <c r="BI65" s="14"/>
      <c r="BJ65" s="14"/>
    </row>
    <row r="66" spans="1:62" ht="12.75">
      <c r="A66" s="62" t="s">
        <v>337</v>
      </c>
      <c r="B66" s="62" t="s">
        <v>77</v>
      </c>
      <c r="C66" s="62" t="s">
        <v>331</v>
      </c>
      <c r="D66" s="62" t="s">
        <v>332</v>
      </c>
      <c r="E66" s="62" t="s">
        <v>229</v>
      </c>
      <c r="F66" s="100">
        <v>58</v>
      </c>
      <c r="G66" s="123">
        <v>0</v>
      </c>
      <c r="H66" s="14"/>
      <c r="I66" s="14"/>
      <c r="J66" s="14">
        <f t="shared" si="162"/>
        <v>0</v>
      </c>
      <c r="K66" s="14"/>
      <c r="L66" s="14"/>
      <c r="M66" s="25"/>
      <c r="Z66" s="30">
        <f aca="true" t="shared" si="163" ref="Z66">IF(AQ66="5",BJ66,0)</f>
        <v>0</v>
      </c>
      <c r="AB66" s="30">
        <f aca="true" t="shared" si="164" ref="AB66">IF(AQ66="1",BH66,0)</f>
        <v>0</v>
      </c>
      <c r="AC66" s="30">
        <f aca="true" t="shared" si="165" ref="AC66">IF(AQ66="1",BI66,0)</f>
        <v>0</v>
      </c>
      <c r="AD66" s="30">
        <f aca="true" t="shared" si="166" ref="AD66">IF(AQ66="7",BH66,0)</f>
        <v>0</v>
      </c>
      <c r="AE66" s="30">
        <f aca="true" t="shared" si="167" ref="AE66">IF(AQ66="7",BI66,0)</f>
        <v>0</v>
      </c>
      <c r="AF66" s="30">
        <f aca="true" t="shared" si="168" ref="AF66">IF(AQ66="2",BH66,0)</f>
        <v>0</v>
      </c>
      <c r="AG66" s="30">
        <f aca="true" t="shared" si="169" ref="AG66">IF(AQ66="2",BI66,0)</f>
        <v>0</v>
      </c>
      <c r="AH66" s="30">
        <f aca="true" t="shared" si="170" ref="AH66">IF(AQ66="0",BJ66,0)</f>
        <v>0</v>
      </c>
      <c r="AI66" s="22" t="s">
        <v>77</v>
      </c>
      <c r="AJ66" s="14">
        <f>IF(AN66=0,J67,0)</f>
        <v>0</v>
      </c>
      <c r="AK66" s="14">
        <f>IF(AN66=15,J67,0)</f>
        <v>0</v>
      </c>
      <c r="AL66" s="14">
        <f>IF(AN66=21,J67,0)</f>
        <v>0</v>
      </c>
      <c r="AN66" s="30">
        <v>21</v>
      </c>
      <c r="AO66" s="30">
        <f>G67*0</f>
        <v>0</v>
      </c>
      <c r="AP66" s="30">
        <f>G67*(1-0)</f>
        <v>0</v>
      </c>
      <c r="AQ66" s="25" t="s">
        <v>7</v>
      </c>
      <c r="AV66" s="30">
        <f aca="true" t="shared" si="171" ref="AV66">AW66+AX66</f>
        <v>0</v>
      </c>
      <c r="AW66" s="30">
        <f>F67*AO66</f>
        <v>0</v>
      </c>
      <c r="AX66" s="30">
        <f>F67*AP66</f>
        <v>0</v>
      </c>
      <c r="AY66" s="31" t="s">
        <v>262</v>
      </c>
      <c r="AZ66" s="31" t="s">
        <v>271</v>
      </c>
      <c r="BA66" s="22" t="s">
        <v>274</v>
      </c>
      <c r="BC66" s="30">
        <f aca="true" t="shared" si="172" ref="BC66">AW66+AX66</f>
        <v>0</v>
      </c>
      <c r="BD66" s="30">
        <f>G67/(100-BE66)*100</f>
        <v>0</v>
      </c>
      <c r="BE66" s="30">
        <v>0</v>
      </c>
      <c r="BF66" s="30">
        <f>L67</f>
        <v>0</v>
      </c>
      <c r="BH66" s="14">
        <f>F67*AO66</f>
        <v>0</v>
      </c>
      <c r="BI66" s="14">
        <f>F67*AP66</f>
        <v>0</v>
      </c>
      <c r="BJ66" s="14">
        <f>F67*G67</f>
        <v>0</v>
      </c>
    </row>
    <row r="67" spans="1:47" s="89" customFormat="1" ht="12.75">
      <c r="A67" s="83" t="s">
        <v>58</v>
      </c>
      <c r="B67" s="83" t="s">
        <v>77</v>
      </c>
      <c r="C67" s="83" t="s">
        <v>93</v>
      </c>
      <c r="D67" s="83" t="s">
        <v>164</v>
      </c>
      <c r="E67" s="83" t="s">
        <v>225</v>
      </c>
      <c r="F67" s="102">
        <v>0.058</v>
      </c>
      <c r="G67" s="126">
        <v>0</v>
      </c>
      <c r="H67" s="84">
        <f>F67*AO66</f>
        <v>0</v>
      </c>
      <c r="I67" s="84">
        <f>F67*AP66</f>
        <v>0</v>
      </c>
      <c r="J67" s="84">
        <f t="shared" si="162"/>
        <v>0</v>
      </c>
      <c r="K67" s="84">
        <v>0</v>
      </c>
      <c r="L67" s="84">
        <f aca="true" t="shared" si="173" ref="L67">F67*K67</f>
        <v>0</v>
      </c>
      <c r="M67" s="85" t="s">
        <v>247</v>
      </c>
      <c r="AI67" s="90" t="s">
        <v>77</v>
      </c>
      <c r="AS67" s="91">
        <f>SUM(AJ68:AJ69)</f>
        <v>0</v>
      </c>
      <c r="AT67" s="91">
        <f>SUM(AK68:AK69)</f>
        <v>0</v>
      </c>
      <c r="AU67" s="91">
        <f>SUM(AL68:AL69)</f>
        <v>0</v>
      </c>
    </row>
    <row r="68" spans="1:62" ht="12.75">
      <c r="A68" s="68"/>
      <c r="B68" s="64" t="s">
        <v>77</v>
      </c>
      <c r="C68" s="64" t="s">
        <v>16</v>
      </c>
      <c r="D68" s="64" t="s">
        <v>165</v>
      </c>
      <c r="E68" s="68" t="s">
        <v>5</v>
      </c>
      <c r="F68" s="68" t="s">
        <v>5</v>
      </c>
      <c r="G68" s="68" t="s">
        <v>5</v>
      </c>
      <c r="H68" s="69">
        <f>SUM(H69:H70)</f>
        <v>0</v>
      </c>
      <c r="I68" s="69">
        <f>SUM(I69:I70)</f>
        <v>0</v>
      </c>
      <c r="J68" s="69">
        <f>SUM(J69:J70)</f>
        <v>0</v>
      </c>
      <c r="K68" s="70"/>
      <c r="L68" s="69">
        <f>SUM(L69:L70)</f>
        <v>0.057627</v>
      </c>
      <c r="M68" s="70"/>
      <c r="Z68" s="30">
        <f aca="true" t="shared" si="174" ref="Z68:Z69">IF(AQ68="5",BJ68,0)</f>
        <v>0</v>
      </c>
      <c r="AB68" s="30">
        <f aca="true" t="shared" si="175" ref="AB68:AB69">IF(AQ68="1",BH68,0)</f>
        <v>0</v>
      </c>
      <c r="AC68" s="30">
        <f aca="true" t="shared" si="176" ref="AC68:AC69">IF(AQ68="1",BI68,0)</f>
        <v>0</v>
      </c>
      <c r="AD68" s="30">
        <f aca="true" t="shared" si="177" ref="AD68:AD69">IF(AQ68="7",BH68,0)</f>
        <v>0</v>
      </c>
      <c r="AE68" s="30">
        <f aca="true" t="shared" si="178" ref="AE68:AE69">IF(AQ68="7",BI68,0)</f>
        <v>0</v>
      </c>
      <c r="AF68" s="30">
        <f aca="true" t="shared" si="179" ref="AF68:AF69">IF(AQ68="2",BH68,0)</f>
        <v>0</v>
      </c>
      <c r="AG68" s="30">
        <f aca="true" t="shared" si="180" ref="AG68:AG69">IF(AQ68="2",BI68,0)</f>
        <v>0</v>
      </c>
      <c r="AH68" s="30">
        <f aca="true" t="shared" si="181" ref="AH68:AH69">IF(AQ68="0",BJ68,0)</f>
        <v>0</v>
      </c>
      <c r="AI68" s="22" t="s">
        <v>77</v>
      </c>
      <c r="AJ68" s="14">
        <f>IF(AN68=0,J69,0)</f>
        <v>0</v>
      </c>
      <c r="AK68" s="14">
        <f>IF(AN68=15,J69,0)</f>
        <v>0</v>
      </c>
      <c r="AL68" s="14">
        <f>IF(AN68=21,J69,0)</f>
        <v>0</v>
      </c>
      <c r="AN68" s="30">
        <v>21</v>
      </c>
      <c r="AO68" s="30">
        <f>G69*0</f>
        <v>0</v>
      </c>
      <c r="AP68" s="30">
        <f>G69*(1-0)</f>
        <v>0</v>
      </c>
      <c r="AQ68" s="25" t="s">
        <v>8</v>
      </c>
      <c r="AV68" s="30">
        <f aca="true" t="shared" si="182" ref="AV68:AV69">AW68+AX68</f>
        <v>0</v>
      </c>
      <c r="AW68" s="30">
        <f>F69*AO68</f>
        <v>0</v>
      </c>
      <c r="AX68" s="30">
        <f>F69*AP68</f>
        <v>0</v>
      </c>
      <c r="AY68" s="31" t="s">
        <v>263</v>
      </c>
      <c r="AZ68" s="31" t="s">
        <v>272</v>
      </c>
      <c r="BA68" s="22" t="s">
        <v>274</v>
      </c>
      <c r="BC68" s="30">
        <f aca="true" t="shared" si="183" ref="BC68:BC69">AW68+AX68</f>
        <v>0</v>
      </c>
      <c r="BD68" s="30">
        <f>G69/(100-BE68)*100</f>
        <v>0</v>
      </c>
      <c r="BE68" s="30">
        <v>0</v>
      </c>
      <c r="BF68" s="30">
        <f>L69</f>
        <v>0.057627</v>
      </c>
      <c r="BH68" s="14">
        <f>F69*AO68</f>
        <v>0</v>
      </c>
      <c r="BI68" s="14">
        <f>F69*AP68</f>
        <v>0</v>
      </c>
      <c r="BJ68" s="14">
        <f>F69*G69</f>
        <v>0</v>
      </c>
    </row>
    <row r="69" spans="1:62" ht="12.75">
      <c r="A69" s="65" t="s">
        <v>59</v>
      </c>
      <c r="B69" s="65" t="s">
        <v>77</v>
      </c>
      <c r="C69" s="65" t="s">
        <v>94</v>
      </c>
      <c r="D69" s="65" t="s">
        <v>210</v>
      </c>
      <c r="E69" s="65" t="s">
        <v>226</v>
      </c>
      <c r="F69" s="54">
        <v>1.011</v>
      </c>
      <c r="G69" s="123">
        <v>0</v>
      </c>
      <c r="H69" s="66">
        <f>F69*AO68</f>
        <v>0</v>
      </c>
      <c r="I69" s="66">
        <f>F69*AP68</f>
        <v>0</v>
      </c>
      <c r="J69" s="66">
        <f aca="true" t="shared" si="184" ref="J69:J70">F69*G69</f>
        <v>0</v>
      </c>
      <c r="K69" s="66">
        <v>0.057</v>
      </c>
      <c r="L69" s="66">
        <f aca="true" t="shared" si="185" ref="L69:L70">F69*K69</f>
        <v>0.057627</v>
      </c>
      <c r="M69" s="67" t="s">
        <v>247</v>
      </c>
      <c r="Z69" s="30">
        <f t="shared" si="174"/>
        <v>0</v>
      </c>
      <c r="AB69" s="30">
        <f t="shared" si="175"/>
        <v>0</v>
      </c>
      <c r="AC69" s="30">
        <f t="shared" si="176"/>
        <v>0</v>
      </c>
      <c r="AD69" s="30">
        <f t="shared" si="177"/>
        <v>0</v>
      </c>
      <c r="AE69" s="30">
        <f t="shared" si="178"/>
        <v>0</v>
      </c>
      <c r="AF69" s="30">
        <f t="shared" si="179"/>
        <v>0</v>
      </c>
      <c r="AG69" s="30">
        <f t="shared" si="180"/>
        <v>0</v>
      </c>
      <c r="AH69" s="30">
        <f t="shared" si="181"/>
        <v>0</v>
      </c>
      <c r="AI69" s="22" t="s">
        <v>77</v>
      </c>
      <c r="AJ69" s="14">
        <f>IF(AN69=0,J70,0)</f>
        <v>0</v>
      </c>
      <c r="AK69" s="14">
        <f>IF(AN69=15,J70,0)</f>
        <v>0</v>
      </c>
      <c r="AL69" s="14">
        <f>IF(AN69=21,J70,0)</f>
        <v>0</v>
      </c>
      <c r="AN69" s="30">
        <v>21</v>
      </c>
      <c r="AO69" s="30">
        <f>G70*0</f>
        <v>0</v>
      </c>
      <c r="AP69" s="30">
        <f>G70*(1-0)</f>
        <v>0</v>
      </c>
      <c r="AQ69" s="25" t="s">
        <v>7</v>
      </c>
      <c r="AV69" s="30">
        <f t="shared" si="182"/>
        <v>0</v>
      </c>
      <c r="AW69" s="30">
        <f>F70*AO69</f>
        <v>0</v>
      </c>
      <c r="AX69" s="30">
        <f>F70*AP69</f>
        <v>0</v>
      </c>
      <c r="AY69" s="31" t="s">
        <v>263</v>
      </c>
      <c r="AZ69" s="31" t="s">
        <v>272</v>
      </c>
      <c r="BA69" s="22" t="s">
        <v>274</v>
      </c>
      <c r="BC69" s="30">
        <f t="shared" si="183"/>
        <v>0</v>
      </c>
      <c r="BD69" s="30">
        <f>G70/(100-BE69)*100</f>
        <v>0</v>
      </c>
      <c r="BE69" s="30">
        <v>0</v>
      </c>
      <c r="BF69" s="30">
        <f>L70</f>
        <v>0</v>
      </c>
      <c r="BH69" s="14">
        <f>F70*AO69</f>
        <v>0</v>
      </c>
      <c r="BI69" s="14">
        <f>F70*AP69</f>
        <v>0</v>
      </c>
      <c r="BJ69" s="14">
        <f>F70*G70</f>
        <v>0</v>
      </c>
    </row>
    <row r="70" spans="1:47" s="89" customFormat="1" ht="12.75">
      <c r="A70" s="86" t="s">
        <v>60</v>
      </c>
      <c r="B70" s="86" t="s">
        <v>77</v>
      </c>
      <c r="C70" s="86" t="s">
        <v>95</v>
      </c>
      <c r="D70" s="86" t="s">
        <v>166</v>
      </c>
      <c r="E70" s="86" t="s">
        <v>225</v>
      </c>
      <c r="F70" s="102">
        <v>0.015</v>
      </c>
      <c r="G70" s="126">
        <v>0</v>
      </c>
      <c r="H70" s="87">
        <f>F70*AO69</f>
        <v>0</v>
      </c>
      <c r="I70" s="87">
        <f>F70*AP69</f>
        <v>0</v>
      </c>
      <c r="J70" s="87">
        <f t="shared" si="184"/>
        <v>0</v>
      </c>
      <c r="K70" s="87">
        <v>0</v>
      </c>
      <c r="L70" s="87">
        <f t="shared" si="185"/>
        <v>0</v>
      </c>
      <c r="M70" s="88" t="s">
        <v>247</v>
      </c>
      <c r="AI70" s="90" t="s">
        <v>77</v>
      </c>
      <c r="AS70" s="91">
        <f>SUM(AJ71:AJ76)</f>
        <v>0</v>
      </c>
      <c r="AT70" s="91">
        <f>SUM(AK71:AK76)</f>
        <v>0</v>
      </c>
      <c r="AU70" s="91">
        <f>SUM(AL71:AL76)</f>
        <v>0</v>
      </c>
    </row>
    <row r="71" spans="1:62" ht="12.75">
      <c r="A71" s="3"/>
      <c r="B71" s="11" t="s">
        <v>77</v>
      </c>
      <c r="C71" s="11" t="s">
        <v>17</v>
      </c>
      <c r="D71" s="11" t="s">
        <v>167</v>
      </c>
      <c r="E71" s="3" t="s">
        <v>5</v>
      </c>
      <c r="F71" s="3" t="s">
        <v>5</v>
      </c>
      <c r="G71" s="3" t="s">
        <v>5</v>
      </c>
      <c r="H71" s="32">
        <f>SUM(H72:H77)</f>
        <v>0</v>
      </c>
      <c r="I71" s="32">
        <f>SUM(I72:I77)</f>
        <v>0</v>
      </c>
      <c r="J71" s="32">
        <f>SUM(J72:J77)</f>
        <v>0</v>
      </c>
      <c r="K71" s="22"/>
      <c r="L71" s="32">
        <f>SUM(L72:L77)</f>
        <v>0.16129970000000002</v>
      </c>
      <c r="M71" s="22"/>
      <c r="Z71" s="30">
        <f aca="true" t="shared" si="186" ref="Z71:Z76">IF(AQ71="5",BJ71,0)</f>
        <v>0</v>
      </c>
      <c r="AB71" s="30">
        <f aca="true" t="shared" si="187" ref="AB71:AB76">IF(AQ71="1",BH71,0)</f>
        <v>0</v>
      </c>
      <c r="AC71" s="30">
        <f aca="true" t="shared" si="188" ref="AC71:AC76">IF(AQ71="1",BI71,0)</f>
        <v>0</v>
      </c>
      <c r="AD71" s="30">
        <f aca="true" t="shared" si="189" ref="AD71:AD76">IF(AQ71="7",BH71,0)</f>
        <v>0</v>
      </c>
      <c r="AE71" s="30">
        <f aca="true" t="shared" si="190" ref="AE71:AE76">IF(AQ71="7",BI71,0)</f>
        <v>0</v>
      </c>
      <c r="AF71" s="30">
        <f aca="true" t="shared" si="191" ref="AF71:AF76">IF(AQ71="2",BH71,0)</f>
        <v>0</v>
      </c>
      <c r="AG71" s="30">
        <f aca="true" t="shared" si="192" ref="AG71:AG76">IF(AQ71="2",BI71,0)</f>
        <v>0</v>
      </c>
      <c r="AH71" s="30">
        <f aca="true" t="shared" si="193" ref="AH71:AH76">IF(AQ71="0",BJ71,0)</f>
        <v>0</v>
      </c>
      <c r="AI71" s="22" t="s">
        <v>77</v>
      </c>
      <c r="AJ71" s="14">
        <f aca="true" t="shared" si="194" ref="AJ71:AJ76">IF(AN71=0,J72,0)</f>
        <v>0</v>
      </c>
      <c r="AK71" s="14">
        <f aca="true" t="shared" si="195" ref="AK71:AK76">IF(AN71=15,J72,0)</f>
        <v>0</v>
      </c>
      <c r="AL71" s="14">
        <f aca="true" t="shared" si="196" ref="AL71:AL76">IF(AN71=21,J72,0)</f>
        <v>0</v>
      </c>
      <c r="AN71" s="30">
        <v>21</v>
      </c>
      <c r="AO71" s="30">
        <f>G72*0</f>
        <v>0</v>
      </c>
      <c r="AP71" s="30">
        <f>G72*(1-0)</f>
        <v>0</v>
      </c>
      <c r="AQ71" s="25" t="s">
        <v>8</v>
      </c>
      <c r="AV71" s="30">
        <f aca="true" t="shared" si="197" ref="AV71:AV76">AW71+AX71</f>
        <v>0</v>
      </c>
      <c r="AW71" s="30">
        <f aca="true" t="shared" si="198" ref="AW71:AW76">F72*AO71</f>
        <v>0</v>
      </c>
      <c r="AX71" s="30">
        <f aca="true" t="shared" si="199" ref="AX71:AX76">F72*AP71</f>
        <v>0</v>
      </c>
      <c r="AY71" s="31" t="s">
        <v>264</v>
      </c>
      <c r="AZ71" s="31" t="s">
        <v>272</v>
      </c>
      <c r="BA71" s="22" t="s">
        <v>274</v>
      </c>
      <c r="BC71" s="30">
        <f aca="true" t="shared" si="200" ref="BC71:BC76">AW71+AX71</f>
        <v>0</v>
      </c>
      <c r="BD71" s="30">
        <f aca="true" t="shared" si="201" ref="BD71:BD76">G72/(100-BE71)*100</f>
        <v>0</v>
      </c>
      <c r="BE71" s="30">
        <v>0</v>
      </c>
      <c r="BF71" s="30">
        <f aca="true" t="shared" si="202" ref="BF71:BF76">L72</f>
        <v>0</v>
      </c>
      <c r="BH71" s="14">
        <f aca="true" t="shared" si="203" ref="BH71:BH76">F72*AO71</f>
        <v>0</v>
      </c>
      <c r="BI71" s="14">
        <f aca="true" t="shared" si="204" ref="BI71:BI76">F72*AP71</f>
        <v>0</v>
      </c>
      <c r="BJ71" s="14">
        <f aca="true" t="shared" si="205" ref="BJ71:BJ76">F72*G72</f>
        <v>0</v>
      </c>
    </row>
    <row r="72" spans="1:62" ht="12.75">
      <c r="A72" s="65" t="s">
        <v>61</v>
      </c>
      <c r="B72" s="65" t="s">
        <v>77</v>
      </c>
      <c r="C72" s="65" t="s">
        <v>96</v>
      </c>
      <c r="D72" s="65" t="s">
        <v>168</v>
      </c>
      <c r="E72" s="65" t="s">
        <v>226</v>
      </c>
      <c r="F72" s="54">
        <v>44.93</v>
      </c>
      <c r="G72" s="123">
        <v>0</v>
      </c>
      <c r="H72" s="66">
        <f aca="true" t="shared" si="206" ref="H72:H77">F72*AO71</f>
        <v>0</v>
      </c>
      <c r="I72" s="66">
        <f aca="true" t="shared" si="207" ref="I72:I77">F72*AP71</f>
        <v>0</v>
      </c>
      <c r="J72" s="66">
        <f aca="true" t="shared" si="208" ref="J72:J77">F72*G72</f>
        <v>0</v>
      </c>
      <c r="K72" s="66">
        <v>0</v>
      </c>
      <c r="L72" s="66">
        <f aca="true" t="shared" si="209" ref="L72:L77">F72*K72</f>
        <v>0</v>
      </c>
      <c r="M72" s="67" t="s">
        <v>247</v>
      </c>
      <c r="Z72" s="30">
        <f t="shared" si="186"/>
        <v>0</v>
      </c>
      <c r="AB72" s="30">
        <f t="shared" si="187"/>
        <v>0</v>
      </c>
      <c r="AC72" s="30">
        <f t="shared" si="188"/>
        <v>0</v>
      </c>
      <c r="AD72" s="30">
        <f t="shared" si="189"/>
        <v>0</v>
      </c>
      <c r="AE72" s="30">
        <f t="shared" si="190"/>
        <v>0</v>
      </c>
      <c r="AF72" s="30">
        <f t="shared" si="191"/>
        <v>0</v>
      </c>
      <c r="AG72" s="30">
        <f t="shared" si="192"/>
        <v>0</v>
      </c>
      <c r="AH72" s="30">
        <f t="shared" si="193"/>
        <v>0</v>
      </c>
      <c r="AI72" s="22" t="s">
        <v>77</v>
      </c>
      <c r="AJ72" s="14">
        <f t="shared" si="194"/>
        <v>0</v>
      </c>
      <c r="AK72" s="14">
        <f t="shared" si="195"/>
        <v>0</v>
      </c>
      <c r="AL72" s="14">
        <f t="shared" si="196"/>
        <v>0</v>
      </c>
      <c r="AN72" s="30">
        <v>21</v>
      </c>
      <c r="AO72" s="30">
        <f>G73*0</f>
        <v>0</v>
      </c>
      <c r="AP72" s="30">
        <f>G73*(1-0)</f>
        <v>0</v>
      </c>
      <c r="AQ72" s="25" t="s">
        <v>8</v>
      </c>
      <c r="AV72" s="30">
        <f t="shared" si="197"/>
        <v>0</v>
      </c>
      <c r="AW72" s="30">
        <f t="shared" si="198"/>
        <v>0</v>
      </c>
      <c r="AX72" s="30">
        <f t="shared" si="199"/>
        <v>0</v>
      </c>
      <c r="AY72" s="31" t="s">
        <v>264</v>
      </c>
      <c r="AZ72" s="31" t="s">
        <v>272</v>
      </c>
      <c r="BA72" s="22" t="s">
        <v>274</v>
      </c>
      <c r="BC72" s="30">
        <f t="shared" si="200"/>
        <v>0</v>
      </c>
      <c r="BD72" s="30">
        <f t="shared" si="201"/>
        <v>0</v>
      </c>
      <c r="BE72" s="30">
        <v>0</v>
      </c>
      <c r="BF72" s="30">
        <f t="shared" si="202"/>
        <v>0</v>
      </c>
      <c r="BH72" s="14">
        <f t="shared" si="203"/>
        <v>0</v>
      </c>
      <c r="BI72" s="14">
        <f t="shared" si="204"/>
        <v>0</v>
      </c>
      <c r="BJ72" s="14">
        <f t="shared" si="205"/>
        <v>0</v>
      </c>
    </row>
    <row r="73" spans="1:62" ht="12.75">
      <c r="A73" s="65" t="s">
        <v>62</v>
      </c>
      <c r="B73" s="65" t="s">
        <v>77</v>
      </c>
      <c r="C73" s="65" t="s">
        <v>97</v>
      </c>
      <c r="D73" s="65" t="s">
        <v>169</v>
      </c>
      <c r="E73" s="65" t="s">
        <v>226</v>
      </c>
      <c r="F73" s="54">
        <v>44.93</v>
      </c>
      <c r="G73" s="123">
        <v>0</v>
      </c>
      <c r="H73" s="66">
        <f t="shared" si="206"/>
        <v>0</v>
      </c>
      <c r="I73" s="66">
        <f t="shared" si="207"/>
        <v>0</v>
      </c>
      <c r="J73" s="66">
        <f t="shared" si="208"/>
        <v>0</v>
      </c>
      <c r="K73" s="66">
        <v>0</v>
      </c>
      <c r="L73" s="66">
        <f t="shared" si="209"/>
        <v>0</v>
      </c>
      <c r="M73" s="67" t="s">
        <v>247</v>
      </c>
      <c r="Z73" s="30">
        <f t="shared" si="186"/>
        <v>0</v>
      </c>
      <c r="AB73" s="30">
        <f t="shared" si="187"/>
        <v>0</v>
      </c>
      <c r="AC73" s="30">
        <f t="shared" si="188"/>
        <v>0</v>
      </c>
      <c r="AD73" s="30">
        <f t="shared" si="189"/>
        <v>0</v>
      </c>
      <c r="AE73" s="30">
        <f t="shared" si="190"/>
        <v>0</v>
      </c>
      <c r="AF73" s="30">
        <f t="shared" si="191"/>
        <v>0</v>
      </c>
      <c r="AG73" s="30">
        <f t="shared" si="192"/>
        <v>0</v>
      </c>
      <c r="AH73" s="30">
        <f t="shared" si="193"/>
        <v>0</v>
      </c>
      <c r="AI73" s="22" t="s">
        <v>77</v>
      </c>
      <c r="AJ73" s="14">
        <f t="shared" si="194"/>
        <v>0</v>
      </c>
      <c r="AK73" s="14">
        <f t="shared" si="195"/>
        <v>0</v>
      </c>
      <c r="AL73" s="14">
        <f t="shared" si="196"/>
        <v>0</v>
      </c>
      <c r="AN73" s="30">
        <v>21</v>
      </c>
      <c r="AO73" s="30">
        <f>G74*0.592356775942639</f>
        <v>0</v>
      </c>
      <c r="AP73" s="30">
        <f>G74*(1-0.592356775942639)</f>
        <v>0</v>
      </c>
      <c r="AQ73" s="25" t="s">
        <v>8</v>
      </c>
      <c r="AV73" s="30">
        <f t="shared" si="197"/>
        <v>0</v>
      </c>
      <c r="AW73" s="30">
        <f t="shared" si="198"/>
        <v>0</v>
      </c>
      <c r="AX73" s="30">
        <f t="shared" si="199"/>
        <v>0</v>
      </c>
      <c r="AY73" s="31" t="s">
        <v>264</v>
      </c>
      <c r="AZ73" s="31" t="s">
        <v>272</v>
      </c>
      <c r="BA73" s="22" t="s">
        <v>274</v>
      </c>
      <c r="BC73" s="30">
        <f t="shared" si="200"/>
        <v>0</v>
      </c>
      <c r="BD73" s="30">
        <f t="shared" si="201"/>
        <v>0</v>
      </c>
      <c r="BE73" s="30">
        <v>0</v>
      </c>
      <c r="BF73" s="30">
        <f t="shared" si="202"/>
        <v>0.098847</v>
      </c>
      <c r="BH73" s="14">
        <f t="shared" si="203"/>
        <v>0</v>
      </c>
      <c r="BI73" s="14">
        <f t="shared" si="204"/>
        <v>0</v>
      </c>
      <c r="BJ73" s="14">
        <f t="shared" si="205"/>
        <v>0</v>
      </c>
    </row>
    <row r="74" spans="1:62" ht="12.75">
      <c r="A74" s="4" t="s">
        <v>63</v>
      </c>
      <c r="B74" s="4" t="s">
        <v>77</v>
      </c>
      <c r="C74" s="4" t="s">
        <v>98</v>
      </c>
      <c r="D74" s="4" t="s">
        <v>170</v>
      </c>
      <c r="E74" s="4" t="s">
        <v>226</v>
      </c>
      <c r="F74" s="54">
        <v>282.42</v>
      </c>
      <c r="G74" s="123">
        <v>0</v>
      </c>
      <c r="H74" s="14">
        <f t="shared" si="206"/>
        <v>0</v>
      </c>
      <c r="I74" s="14">
        <f t="shared" si="207"/>
        <v>0</v>
      </c>
      <c r="J74" s="14">
        <f t="shared" si="208"/>
        <v>0</v>
      </c>
      <c r="K74" s="14">
        <v>0.00035</v>
      </c>
      <c r="L74" s="14">
        <f t="shared" si="209"/>
        <v>0.098847</v>
      </c>
      <c r="M74" s="25" t="s">
        <v>247</v>
      </c>
      <c r="Z74" s="30">
        <f t="shared" si="186"/>
        <v>0</v>
      </c>
      <c r="AB74" s="30">
        <f t="shared" si="187"/>
        <v>0</v>
      </c>
      <c r="AC74" s="30">
        <f t="shared" si="188"/>
        <v>0</v>
      </c>
      <c r="AD74" s="30">
        <f t="shared" si="189"/>
        <v>0</v>
      </c>
      <c r="AE74" s="30">
        <f t="shared" si="190"/>
        <v>0</v>
      </c>
      <c r="AF74" s="30">
        <f t="shared" si="191"/>
        <v>0</v>
      </c>
      <c r="AG74" s="30">
        <f t="shared" si="192"/>
        <v>0</v>
      </c>
      <c r="AH74" s="30">
        <f t="shared" si="193"/>
        <v>0</v>
      </c>
      <c r="AI74" s="22" t="s">
        <v>77</v>
      </c>
      <c r="AJ74" s="14">
        <f t="shared" si="194"/>
        <v>0</v>
      </c>
      <c r="AK74" s="14">
        <f t="shared" si="195"/>
        <v>0</v>
      </c>
      <c r="AL74" s="14">
        <f t="shared" si="196"/>
        <v>0</v>
      </c>
      <c r="AN74" s="30">
        <v>21</v>
      </c>
      <c r="AO74" s="30">
        <f>G75*0.592435868115594</f>
        <v>0</v>
      </c>
      <c r="AP74" s="30">
        <f>G75*(1-0.592435868115594)</f>
        <v>0</v>
      </c>
      <c r="AQ74" s="25" t="s">
        <v>8</v>
      </c>
      <c r="AV74" s="30">
        <f t="shared" si="197"/>
        <v>0</v>
      </c>
      <c r="AW74" s="30">
        <f t="shared" si="198"/>
        <v>0</v>
      </c>
      <c r="AX74" s="30">
        <f t="shared" si="199"/>
        <v>0</v>
      </c>
      <c r="AY74" s="31" t="s">
        <v>264</v>
      </c>
      <c r="AZ74" s="31" t="s">
        <v>272</v>
      </c>
      <c r="BA74" s="22" t="s">
        <v>274</v>
      </c>
      <c r="BC74" s="30">
        <f t="shared" si="200"/>
        <v>0</v>
      </c>
      <c r="BD74" s="30">
        <f t="shared" si="201"/>
        <v>0</v>
      </c>
      <c r="BE74" s="30">
        <v>0</v>
      </c>
      <c r="BF74" s="30">
        <f t="shared" si="202"/>
        <v>0.008986000000000001</v>
      </c>
      <c r="BH74" s="14">
        <f t="shared" si="203"/>
        <v>0</v>
      </c>
      <c r="BI74" s="14">
        <f t="shared" si="204"/>
        <v>0</v>
      </c>
      <c r="BJ74" s="14">
        <f t="shared" si="205"/>
        <v>0</v>
      </c>
    </row>
    <row r="75" spans="1:62" ht="12.75">
      <c r="A75" s="4" t="s">
        <v>64</v>
      </c>
      <c r="B75" s="4" t="s">
        <v>77</v>
      </c>
      <c r="C75" s="4" t="s">
        <v>99</v>
      </c>
      <c r="D75" s="4" t="s">
        <v>171</v>
      </c>
      <c r="E75" s="4" t="s">
        <v>226</v>
      </c>
      <c r="F75" s="54">
        <v>44.93</v>
      </c>
      <c r="G75" s="123">
        <v>0</v>
      </c>
      <c r="H75" s="14">
        <f t="shared" si="206"/>
        <v>0</v>
      </c>
      <c r="I75" s="14">
        <f t="shared" si="207"/>
        <v>0</v>
      </c>
      <c r="J75" s="14">
        <f t="shared" si="208"/>
        <v>0</v>
      </c>
      <c r="K75" s="14">
        <v>0.0002</v>
      </c>
      <c r="L75" s="14">
        <f t="shared" si="209"/>
        <v>0.008986000000000001</v>
      </c>
      <c r="M75" s="25" t="s">
        <v>247</v>
      </c>
      <c r="Z75" s="30">
        <f t="shared" si="186"/>
        <v>0</v>
      </c>
      <c r="AB75" s="30">
        <f t="shared" si="187"/>
        <v>0</v>
      </c>
      <c r="AC75" s="30">
        <f t="shared" si="188"/>
        <v>0</v>
      </c>
      <c r="AD75" s="30">
        <f t="shared" si="189"/>
        <v>0</v>
      </c>
      <c r="AE75" s="30">
        <f t="shared" si="190"/>
        <v>0</v>
      </c>
      <c r="AF75" s="30">
        <f t="shared" si="191"/>
        <v>0</v>
      </c>
      <c r="AG75" s="30">
        <f t="shared" si="192"/>
        <v>0</v>
      </c>
      <c r="AH75" s="30">
        <f t="shared" si="193"/>
        <v>0</v>
      </c>
      <c r="AI75" s="22" t="s">
        <v>77</v>
      </c>
      <c r="AJ75" s="14">
        <f t="shared" si="194"/>
        <v>0</v>
      </c>
      <c r="AK75" s="14">
        <f t="shared" si="195"/>
        <v>0</v>
      </c>
      <c r="AL75" s="14">
        <f t="shared" si="196"/>
        <v>0</v>
      </c>
      <c r="AN75" s="30">
        <v>21</v>
      </c>
      <c r="AO75" s="30">
        <f>G76*0.314654574516268</f>
        <v>0</v>
      </c>
      <c r="AP75" s="30">
        <f>G76*(1-0.314654574516268)</f>
        <v>0</v>
      </c>
      <c r="AQ75" s="25" t="s">
        <v>8</v>
      </c>
      <c r="AV75" s="30">
        <f t="shared" si="197"/>
        <v>0</v>
      </c>
      <c r="AW75" s="30">
        <f t="shared" si="198"/>
        <v>0</v>
      </c>
      <c r="AX75" s="30">
        <f t="shared" si="199"/>
        <v>0</v>
      </c>
      <c r="AY75" s="31" t="s">
        <v>264</v>
      </c>
      <c r="AZ75" s="31" t="s">
        <v>272</v>
      </c>
      <c r="BA75" s="22" t="s">
        <v>274</v>
      </c>
      <c r="BC75" s="30">
        <f t="shared" si="200"/>
        <v>0</v>
      </c>
      <c r="BD75" s="30">
        <f t="shared" si="201"/>
        <v>0</v>
      </c>
      <c r="BE75" s="30">
        <v>0</v>
      </c>
      <c r="BF75" s="30">
        <f t="shared" si="202"/>
        <v>0.0413356</v>
      </c>
      <c r="BH75" s="14">
        <f t="shared" si="203"/>
        <v>0</v>
      </c>
      <c r="BI75" s="14">
        <f t="shared" si="204"/>
        <v>0</v>
      </c>
      <c r="BJ75" s="14">
        <f t="shared" si="205"/>
        <v>0</v>
      </c>
    </row>
    <row r="76" spans="1:62" ht="12.75">
      <c r="A76" s="4" t="s">
        <v>65</v>
      </c>
      <c r="B76" s="4" t="s">
        <v>77</v>
      </c>
      <c r="C76" s="4" t="s">
        <v>100</v>
      </c>
      <c r="D76" s="4" t="s">
        <v>172</v>
      </c>
      <c r="E76" s="4" t="s">
        <v>226</v>
      </c>
      <c r="F76" s="54">
        <v>89.86</v>
      </c>
      <c r="G76" s="123">
        <v>0</v>
      </c>
      <c r="H76" s="14">
        <f t="shared" si="206"/>
        <v>0</v>
      </c>
      <c r="I76" s="14">
        <f t="shared" si="207"/>
        <v>0</v>
      </c>
      <c r="J76" s="14">
        <f t="shared" si="208"/>
        <v>0</v>
      </c>
      <c r="K76" s="14">
        <v>0.00046</v>
      </c>
      <c r="L76" s="14">
        <f t="shared" si="209"/>
        <v>0.0413356</v>
      </c>
      <c r="M76" s="25" t="s">
        <v>247</v>
      </c>
      <c r="Z76" s="30">
        <f t="shared" si="186"/>
        <v>0</v>
      </c>
      <c r="AB76" s="30">
        <f t="shared" si="187"/>
        <v>0</v>
      </c>
      <c r="AC76" s="30">
        <f t="shared" si="188"/>
        <v>0</v>
      </c>
      <c r="AD76" s="30">
        <f t="shared" si="189"/>
        <v>0</v>
      </c>
      <c r="AE76" s="30">
        <f t="shared" si="190"/>
        <v>0</v>
      </c>
      <c r="AF76" s="30">
        <f t="shared" si="191"/>
        <v>0</v>
      </c>
      <c r="AG76" s="30">
        <f t="shared" si="192"/>
        <v>0</v>
      </c>
      <c r="AH76" s="30">
        <f t="shared" si="193"/>
        <v>0</v>
      </c>
      <c r="AI76" s="22" t="s">
        <v>77</v>
      </c>
      <c r="AJ76" s="14">
        <f t="shared" si="194"/>
        <v>0</v>
      </c>
      <c r="AK76" s="14">
        <f t="shared" si="195"/>
        <v>0</v>
      </c>
      <c r="AL76" s="14">
        <f t="shared" si="196"/>
        <v>0</v>
      </c>
      <c r="AN76" s="30">
        <v>21</v>
      </c>
      <c r="AO76" s="30">
        <f>G77*0.064565705263235</f>
        <v>0</v>
      </c>
      <c r="AP76" s="30">
        <f>G77*(1-0.064565705263235)</f>
        <v>0</v>
      </c>
      <c r="AQ76" s="25" t="s">
        <v>8</v>
      </c>
      <c r="AV76" s="30">
        <f t="shared" si="197"/>
        <v>0</v>
      </c>
      <c r="AW76" s="30">
        <f t="shared" si="198"/>
        <v>0</v>
      </c>
      <c r="AX76" s="30">
        <f t="shared" si="199"/>
        <v>0</v>
      </c>
      <c r="AY76" s="31" t="s">
        <v>264</v>
      </c>
      <c r="AZ76" s="31" t="s">
        <v>272</v>
      </c>
      <c r="BA76" s="22" t="s">
        <v>274</v>
      </c>
      <c r="BC76" s="30">
        <f t="shared" si="200"/>
        <v>0</v>
      </c>
      <c r="BD76" s="30">
        <f t="shared" si="201"/>
        <v>0</v>
      </c>
      <c r="BE76" s="30">
        <v>0</v>
      </c>
      <c r="BF76" s="30">
        <f t="shared" si="202"/>
        <v>0.0121311</v>
      </c>
      <c r="BH76" s="14">
        <f t="shared" si="203"/>
        <v>0</v>
      </c>
      <c r="BI76" s="14">
        <f t="shared" si="204"/>
        <v>0</v>
      </c>
      <c r="BJ76" s="14">
        <f t="shared" si="205"/>
        <v>0</v>
      </c>
    </row>
    <row r="77" spans="1:13" ht="12.75">
      <c r="A77" s="65" t="s">
        <v>66</v>
      </c>
      <c r="B77" s="65" t="s">
        <v>77</v>
      </c>
      <c r="C77" s="65" t="s">
        <v>101</v>
      </c>
      <c r="D77" s="65" t="s">
        <v>173</v>
      </c>
      <c r="E77" s="65" t="s">
        <v>226</v>
      </c>
      <c r="F77" s="54">
        <v>44.93</v>
      </c>
      <c r="G77" s="123">
        <v>0</v>
      </c>
      <c r="H77" s="66">
        <f t="shared" si="206"/>
        <v>0</v>
      </c>
      <c r="I77" s="66">
        <f t="shared" si="207"/>
        <v>0</v>
      </c>
      <c r="J77" s="66">
        <f t="shared" si="208"/>
        <v>0</v>
      </c>
      <c r="K77" s="66">
        <v>0.00027</v>
      </c>
      <c r="L77" s="66">
        <f t="shared" si="209"/>
        <v>0.0121311</v>
      </c>
      <c r="M77" s="67" t="s">
        <v>247</v>
      </c>
    </row>
    <row r="78" spans="1:47" ht="12.75">
      <c r="A78" s="56"/>
      <c r="B78" s="57" t="s">
        <v>78</v>
      </c>
      <c r="C78" s="57"/>
      <c r="D78" s="63" t="s">
        <v>211</v>
      </c>
      <c r="E78" s="56" t="s">
        <v>5</v>
      </c>
      <c r="F78" s="56" t="s">
        <v>5</v>
      </c>
      <c r="G78" s="56" t="s">
        <v>5</v>
      </c>
      <c r="H78" s="58">
        <f>H79</f>
        <v>0</v>
      </c>
      <c r="I78" s="58">
        <f>I79</f>
        <v>0</v>
      </c>
      <c r="J78" s="58">
        <f>J79</f>
        <v>0</v>
      </c>
      <c r="K78" s="59"/>
      <c r="L78" s="58">
        <f>L79</f>
        <v>0</v>
      </c>
      <c r="M78" s="59"/>
      <c r="AI78" s="22" t="s">
        <v>78</v>
      </c>
      <c r="AS78" s="32">
        <f>SUM(AJ79:AJ86)</f>
        <v>0</v>
      </c>
      <c r="AT78" s="32">
        <f>SUM(AK79:AK86)</f>
        <v>0</v>
      </c>
      <c r="AU78" s="32">
        <f>SUM(AL79:AL86)</f>
        <v>0</v>
      </c>
    </row>
    <row r="79" spans="1:62" ht="12.75">
      <c r="A79" s="3"/>
      <c r="B79" s="11" t="s">
        <v>78</v>
      </c>
      <c r="C79" s="11"/>
      <c r="D79" s="64" t="s">
        <v>212</v>
      </c>
      <c r="E79" s="3" t="s">
        <v>5</v>
      </c>
      <c r="F79" s="3" t="s">
        <v>5</v>
      </c>
      <c r="G79" s="3" t="s">
        <v>5</v>
      </c>
      <c r="H79" s="32">
        <f>SUM(H80:H87)</f>
        <v>0</v>
      </c>
      <c r="I79" s="32">
        <f>SUM(I80:I87)</f>
        <v>0</v>
      </c>
      <c r="J79" s="32">
        <f>SUM(J80:J87)</f>
        <v>0</v>
      </c>
      <c r="K79" s="22"/>
      <c r="L79" s="32">
        <f>SUM(L80:L87)</f>
        <v>0</v>
      </c>
      <c r="M79" s="22"/>
      <c r="Z79" s="30">
        <f aca="true" t="shared" si="210" ref="Z79:Z86">IF(AQ79="5",BJ79,0)</f>
        <v>0</v>
      </c>
      <c r="AB79" s="30">
        <f aca="true" t="shared" si="211" ref="AB79:AB86">IF(AQ79="1",BH79,0)</f>
        <v>0</v>
      </c>
      <c r="AC79" s="30">
        <f aca="true" t="shared" si="212" ref="AC79:AC86">IF(AQ79="1",BI79,0)</f>
        <v>0</v>
      </c>
      <c r="AD79" s="30">
        <f aca="true" t="shared" si="213" ref="AD79:AD86">IF(AQ79="7",BH79,0)</f>
        <v>0</v>
      </c>
      <c r="AE79" s="30">
        <f aca="true" t="shared" si="214" ref="AE79:AE86">IF(AQ79="7",BI79,0)</f>
        <v>0</v>
      </c>
      <c r="AF79" s="30">
        <f aca="true" t="shared" si="215" ref="AF79:AF86">IF(AQ79="2",BH79,0)</f>
        <v>0</v>
      </c>
      <c r="AG79" s="30">
        <f aca="true" t="shared" si="216" ref="AG79:AG86">IF(AQ79="2",BI79,0)</f>
        <v>0</v>
      </c>
      <c r="AH79" s="30">
        <f aca="true" t="shared" si="217" ref="AH79:AH86">IF(AQ79="0",BJ79,0)</f>
        <v>0</v>
      </c>
      <c r="AI79" s="22" t="s">
        <v>78</v>
      </c>
      <c r="AJ79" s="14">
        <f>IF(AN79=0,J80,0)</f>
        <v>0</v>
      </c>
      <c r="AK79" s="14">
        <f>IF(AN79=15,J80,0)</f>
        <v>0</v>
      </c>
      <c r="AL79" s="14">
        <f>IF(AN79=21,J80,0)</f>
        <v>0</v>
      </c>
      <c r="AN79" s="30">
        <v>21</v>
      </c>
      <c r="AO79" s="30">
        <f>G80*0</f>
        <v>0</v>
      </c>
      <c r="AP79" s="30">
        <f>G80*(1-0)</f>
        <v>0</v>
      </c>
      <c r="AQ79" s="25" t="s">
        <v>6</v>
      </c>
      <c r="AV79" s="30">
        <f aca="true" t="shared" si="218" ref="AV79:AV86">AW79+AX79</f>
        <v>0</v>
      </c>
      <c r="AW79" s="30">
        <f>F80*AO79</f>
        <v>0</v>
      </c>
      <c r="AX79" s="30">
        <f>F80*AP79</f>
        <v>0</v>
      </c>
      <c r="AY79" s="31" t="s">
        <v>268</v>
      </c>
      <c r="AZ79" s="31" t="s">
        <v>273</v>
      </c>
      <c r="BA79" s="22" t="s">
        <v>275</v>
      </c>
      <c r="BC79" s="30">
        <f aca="true" t="shared" si="219" ref="BC79:BC86">AW79+AX79</f>
        <v>0</v>
      </c>
      <c r="BD79" s="30">
        <f>G80/(100-BE79)*100</f>
        <v>0</v>
      </c>
      <c r="BE79" s="30">
        <v>0</v>
      </c>
      <c r="BF79" s="30">
        <f>L80</f>
        <v>0</v>
      </c>
      <c r="BH79" s="14">
        <f>F80*AO79</f>
        <v>0</v>
      </c>
      <c r="BI79" s="14">
        <f>F80*AP79</f>
        <v>0</v>
      </c>
      <c r="BJ79" s="14">
        <f aca="true" t="shared" si="220" ref="BJ79:BJ86">F80*G80</f>
        <v>0</v>
      </c>
    </row>
    <row r="80" spans="1:62" ht="12.75">
      <c r="A80" s="4" t="s">
        <v>67</v>
      </c>
      <c r="B80" s="4" t="s">
        <v>78</v>
      </c>
      <c r="C80" s="4" t="s">
        <v>134</v>
      </c>
      <c r="D80" s="65" t="s">
        <v>213</v>
      </c>
      <c r="E80" s="4" t="s">
        <v>227</v>
      </c>
      <c r="F80" s="54">
        <v>1</v>
      </c>
      <c r="G80" s="123">
        <v>0</v>
      </c>
      <c r="H80" s="14">
        <f>F80*AO79</f>
        <v>0</v>
      </c>
      <c r="I80" s="14">
        <f>F80*AP79</f>
        <v>0</v>
      </c>
      <c r="J80" s="14">
        <f aca="true" t="shared" si="221" ref="J80:J87">F80*G80</f>
        <v>0</v>
      </c>
      <c r="K80" s="14">
        <v>0</v>
      </c>
      <c r="L80" s="14">
        <f aca="true" t="shared" si="222" ref="L80:L87">F80*K80</f>
        <v>0</v>
      </c>
      <c r="M80" s="25" t="s">
        <v>247</v>
      </c>
      <c r="Z80" s="30">
        <f t="shared" si="210"/>
        <v>0</v>
      </c>
      <c r="AB80" s="30">
        <f t="shared" si="211"/>
        <v>0</v>
      </c>
      <c r="AC80" s="30">
        <f t="shared" si="212"/>
        <v>0</v>
      </c>
      <c r="AD80" s="30">
        <f t="shared" si="213"/>
        <v>0</v>
      </c>
      <c r="AE80" s="30">
        <f t="shared" si="214"/>
        <v>0</v>
      </c>
      <c r="AF80" s="30">
        <f t="shared" si="215"/>
        <v>0</v>
      </c>
      <c r="AG80" s="30">
        <f t="shared" si="216"/>
        <v>0</v>
      </c>
      <c r="AH80" s="30">
        <f t="shared" si="217"/>
        <v>0</v>
      </c>
      <c r="AI80" s="22" t="s">
        <v>78</v>
      </c>
      <c r="AJ80" s="14">
        <f>IF(AN80=0,J82,0)</f>
        <v>0</v>
      </c>
      <c r="AK80" s="14">
        <f>IF(AN80=15,J82,0)</f>
        <v>0</v>
      </c>
      <c r="AL80" s="14">
        <f>IF(AN80=21,J82,0)</f>
        <v>0</v>
      </c>
      <c r="AN80" s="30">
        <v>21</v>
      </c>
      <c r="AO80" s="30">
        <f>G82*0</f>
        <v>0</v>
      </c>
      <c r="AP80" s="30">
        <f>G82*(1-0)</f>
        <v>0</v>
      </c>
      <c r="AQ80" s="25" t="s">
        <v>6</v>
      </c>
      <c r="AV80" s="30">
        <f t="shared" si="218"/>
        <v>0</v>
      </c>
      <c r="AW80" s="30">
        <f>F82*AO80</f>
        <v>0</v>
      </c>
      <c r="AX80" s="30">
        <f>F82*AP80</f>
        <v>0</v>
      </c>
      <c r="AY80" s="31" t="s">
        <v>268</v>
      </c>
      <c r="AZ80" s="31" t="s">
        <v>273</v>
      </c>
      <c r="BA80" s="22" t="s">
        <v>275</v>
      </c>
      <c r="BC80" s="30">
        <f t="shared" si="219"/>
        <v>0</v>
      </c>
      <c r="BD80" s="30">
        <f>G82/(100-BE80)*100</f>
        <v>0</v>
      </c>
      <c r="BE80" s="30">
        <v>0</v>
      </c>
      <c r="BF80" s="30">
        <f>L82</f>
        <v>0</v>
      </c>
      <c r="BH80" s="14">
        <f>F82*AO80</f>
        <v>0</v>
      </c>
      <c r="BI80" s="14">
        <f>F82*AP80</f>
        <v>0</v>
      </c>
      <c r="BJ80" s="14">
        <f>F82*G82</f>
        <v>0</v>
      </c>
    </row>
    <row r="81" spans="1:62" s="95" customFormat="1" ht="12.75">
      <c r="A81" s="93" t="s">
        <v>68</v>
      </c>
      <c r="B81" s="93" t="s">
        <v>78</v>
      </c>
      <c r="C81" s="93" t="s">
        <v>135</v>
      </c>
      <c r="D81" s="93" t="s">
        <v>214</v>
      </c>
      <c r="E81" s="93" t="s">
        <v>227</v>
      </c>
      <c r="F81" s="103">
        <v>1</v>
      </c>
      <c r="G81" s="124">
        <v>0</v>
      </c>
      <c r="H81" s="77">
        <f aca="true" t="shared" si="223" ref="H81">F81*AO81</f>
        <v>0</v>
      </c>
      <c r="I81" s="77">
        <f aca="true" t="shared" si="224" ref="I81">F81*AP81</f>
        <v>0</v>
      </c>
      <c r="J81" s="77">
        <f t="shared" si="221"/>
        <v>0</v>
      </c>
      <c r="K81" s="77">
        <v>0</v>
      </c>
      <c r="L81" s="77">
        <f t="shared" si="222"/>
        <v>0</v>
      </c>
      <c r="M81" s="94" t="s">
        <v>247</v>
      </c>
      <c r="Z81" s="96">
        <f t="shared" si="210"/>
        <v>0</v>
      </c>
      <c r="AB81" s="96">
        <f t="shared" si="211"/>
        <v>0</v>
      </c>
      <c r="AC81" s="96">
        <f t="shared" si="212"/>
        <v>0</v>
      </c>
      <c r="AD81" s="96">
        <f t="shared" si="213"/>
        <v>0</v>
      </c>
      <c r="AE81" s="96">
        <f t="shared" si="214"/>
        <v>0</v>
      </c>
      <c r="AF81" s="96">
        <f t="shared" si="215"/>
        <v>0</v>
      </c>
      <c r="AG81" s="96">
        <f t="shared" si="216"/>
        <v>0</v>
      </c>
      <c r="AH81" s="96">
        <f t="shared" si="217"/>
        <v>0</v>
      </c>
      <c r="AI81" s="97" t="s">
        <v>78</v>
      </c>
      <c r="AJ81" s="77">
        <f aca="true" t="shared" si="225" ref="AJ81">IF(AN81=0,J81,0)</f>
        <v>0</v>
      </c>
      <c r="AK81" s="77">
        <f aca="true" t="shared" si="226" ref="AK81">IF(AN81=15,J81,0)</f>
        <v>0</v>
      </c>
      <c r="AL81" s="77">
        <f aca="true" t="shared" si="227" ref="AL81">IF(AN81=21,J81,0)</f>
        <v>0</v>
      </c>
      <c r="AN81" s="96">
        <v>21</v>
      </c>
      <c r="AO81" s="96">
        <f aca="true" t="shared" si="228" ref="AO81">G81*0</f>
        <v>0</v>
      </c>
      <c r="AP81" s="96">
        <f aca="true" t="shared" si="229" ref="AP81">G81*(1-0)</f>
        <v>0</v>
      </c>
      <c r="AQ81" s="94" t="s">
        <v>6</v>
      </c>
      <c r="AV81" s="96">
        <f t="shared" si="218"/>
        <v>0</v>
      </c>
      <c r="AW81" s="96">
        <f aca="true" t="shared" si="230" ref="AW81">F81*AO81</f>
        <v>0</v>
      </c>
      <c r="AX81" s="96">
        <f aca="true" t="shared" si="231" ref="AX81">F81*AP81</f>
        <v>0</v>
      </c>
      <c r="AY81" s="98" t="s">
        <v>268</v>
      </c>
      <c r="AZ81" s="98" t="s">
        <v>273</v>
      </c>
      <c r="BA81" s="97" t="s">
        <v>275</v>
      </c>
      <c r="BC81" s="96">
        <f t="shared" si="219"/>
        <v>0</v>
      </c>
      <c r="BD81" s="96">
        <f aca="true" t="shared" si="232" ref="BD81">G81/(100-BE81)*100</f>
        <v>0</v>
      </c>
      <c r="BE81" s="96">
        <v>0</v>
      </c>
      <c r="BF81" s="96">
        <f aca="true" t="shared" si="233" ref="BF81">L81</f>
        <v>0</v>
      </c>
      <c r="BH81" s="77">
        <f aca="true" t="shared" si="234" ref="BH81">F81*AO81</f>
        <v>0</v>
      </c>
      <c r="BI81" s="77">
        <f aca="true" t="shared" si="235" ref="BI81">F81*AP81</f>
        <v>0</v>
      </c>
      <c r="BJ81" s="77">
        <f aca="true" t="shared" si="236" ref="BJ81">F81*G81</f>
        <v>0</v>
      </c>
    </row>
    <row r="82" spans="1:62" ht="12.75">
      <c r="A82" s="65" t="s">
        <v>69</v>
      </c>
      <c r="B82" s="65" t="s">
        <v>78</v>
      </c>
      <c r="C82" s="65" t="s">
        <v>136</v>
      </c>
      <c r="D82" s="65" t="s">
        <v>215</v>
      </c>
      <c r="E82" s="65" t="s">
        <v>227</v>
      </c>
      <c r="F82" s="54">
        <v>1</v>
      </c>
      <c r="G82" s="123">
        <v>0</v>
      </c>
      <c r="H82" s="66">
        <f>F82*AO80</f>
        <v>0</v>
      </c>
      <c r="I82" s="66">
        <f>F82*AP80</f>
        <v>0</v>
      </c>
      <c r="J82" s="66">
        <f t="shared" si="221"/>
        <v>0</v>
      </c>
      <c r="K82" s="66">
        <v>0</v>
      </c>
      <c r="L82" s="66">
        <f t="shared" si="222"/>
        <v>0</v>
      </c>
      <c r="M82" s="67" t="s">
        <v>247</v>
      </c>
      <c r="Z82" s="30">
        <f t="shared" si="210"/>
        <v>0</v>
      </c>
      <c r="AB82" s="30">
        <f t="shared" si="211"/>
        <v>0</v>
      </c>
      <c r="AC82" s="30">
        <f t="shared" si="212"/>
        <v>0</v>
      </c>
      <c r="AD82" s="30">
        <f t="shared" si="213"/>
        <v>0</v>
      </c>
      <c r="AE82" s="30">
        <f t="shared" si="214"/>
        <v>0</v>
      </c>
      <c r="AF82" s="30">
        <f t="shared" si="215"/>
        <v>0</v>
      </c>
      <c r="AG82" s="30">
        <f t="shared" si="216"/>
        <v>0</v>
      </c>
      <c r="AH82" s="30">
        <f t="shared" si="217"/>
        <v>0</v>
      </c>
      <c r="AI82" s="22" t="s">
        <v>78</v>
      </c>
      <c r="AJ82" s="14">
        <f>IF(AN82=0,J83,0)</f>
        <v>0</v>
      </c>
      <c r="AK82" s="14">
        <f>IF(AN82=15,J83,0)</f>
        <v>0</v>
      </c>
      <c r="AL82" s="14">
        <f>IF(AN82=21,J83,0)</f>
        <v>0</v>
      </c>
      <c r="AN82" s="30">
        <v>21</v>
      </c>
      <c r="AO82" s="30">
        <f>G83*0</f>
        <v>0</v>
      </c>
      <c r="AP82" s="30">
        <f>G83*(1-0)</f>
        <v>0</v>
      </c>
      <c r="AQ82" s="25" t="s">
        <v>6</v>
      </c>
      <c r="AV82" s="30">
        <f t="shared" si="218"/>
        <v>0</v>
      </c>
      <c r="AW82" s="30">
        <f>F83*AO82</f>
        <v>0</v>
      </c>
      <c r="AX82" s="30">
        <f>F83*AP82</f>
        <v>0</v>
      </c>
      <c r="AY82" s="31" t="s">
        <v>268</v>
      </c>
      <c r="AZ82" s="31" t="s">
        <v>273</v>
      </c>
      <c r="BA82" s="22" t="s">
        <v>275</v>
      </c>
      <c r="BC82" s="30">
        <f t="shared" si="219"/>
        <v>0</v>
      </c>
      <c r="BD82" s="30">
        <f>G83/(100-BE82)*100</f>
        <v>0</v>
      </c>
      <c r="BE82" s="30">
        <v>0</v>
      </c>
      <c r="BF82" s="30">
        <f>L83</f>
        <v>0</v>
      </c>
      <c r="BH82" s="14">
        <f>F83*AO82</f>
        <v>0</v>
      </c>
      <c r="BI82" s="14">
        <f>F83*AP82</f>
        <v>0</v>
      </c>
      <c r="BJ82" s="14">
        <f t="shared" si="220"/>
        <v>0</v>
      </c>
    </row>
    <row r="83" spans="1:62" ht="12.75">
      <c r="A83" s="65" t="s">
        <v>70</v>
      </c>
      <c r="B83" s="65" t="s">
        <v>78</v>
      </c>
      <c r="C83" s="65" t="s">
        <v>137</v>
      </c>
      <c r="D83" s="65" t="s">
        <v>216</v>
      </c>
      <c r="E83" s="65" t="s">
        <v>227</v>
      </c>
      <c r="F83" s="54">
        <v>1</v>
      </c>
      <c r="G83" s="123">
        <v>0</v>
      </c>
      <c r="H83" s="66">
        <f>F83*AO82</f>
        <v>0</v>
      </c>
      <c r="I83" s="66">
        <f>F83*AP82</f>
        <v>0</v>
      </c>
      <c r="J83" s="66">
        <f t="shared" si="221"/>
        <v>0</v>
      </c>
      <c r="K83" s="66">
        <v>0</v>
      </c>
      <c r="L83" s="66">
        <f t="shared" si="222"/>
        <v>0</v>
      </c>
      <c r="M83" s="67" t="s">
        <v>247</v>
      </c>
      <c r="Z83" s="30">
        <f t="shared" si="210"/>
        <v>0</v>
      </c>
      <c r="AB83" s="30">
        <f t="shared" si="211"/>
        <v>0</v>
      </c>
      <c r="AC83" s="30">
        <f t="shared" si="212"/>
        <v>0</v>
      </c>
      <c r="AD83" s="30">
        <f t="shared" si="213"/>
        <v>0</v>
      </c>
      <c r="AE83" s="30">
        <f t="shared" si="214"/>
        <v>0</v>
      </c>
      <c r="AF83" s="30">
        <f t="shared" si="215"/>
        <v>0</v>
      </c>
      <c r="AG83" s="30">
        <f t="shared" si="216"/>
        <v>0</v>
      </c>
      <c r="AH83" s="30">
        <f t="shared" si="217"/>
        <v>0</v>
      </c>
      <c r="AI83" s="22" t="s">
        <v>78</v>
      </c>
      <c r="AJ83" s="14">
        <f>IF(AN83=0,J84,0)</f>
        <v>0</v>
      </c>
      <c r="AK83" s="14">
        <f>IF(AN83=15,J84,0)</f>
        <v>0</v>
      </c>
      <c r="AL83" s="14">
        <f>IF(AN83=21,J84,0)</f>
        <v>0</v>
      </c>
      <c r="AN83" s="30">
        <v>21</v>
      </c>
      <c r="AO83" s="30">
        <f>G84*0</f>
        <v>0</v>
      </c>
      <c r="AP83" s="30">
        <f>G84*(1-0)</f>
        <v>0</v>
      </c>
      <c r="AQ83" s="25" t="s">
        <v>6</v>
      </c>
      <c r="AV83" s="30">
        <f t="shared" si="218"/>
        <v>0</v>
      </c>
      <c r="AW83" s="30">
        <f>F84*AO83</f>
        <v>0</v>
      </c>
      <c r="AX83" s="30">
        <f>F84*AP83</f>
        <v>0</v>
      </c>
      <c r="AY83" s="31" t="s">
        <v>268</v>
      </c>
      <c r="AZ83" s="31" t="s">
        <v>273</v>
      </c>
      <c r="BA83" s="22" t="s">
        <v>275</v>
      </c>
      <c r="BC83" s="30">
        <f t="shared" si="219"/>
        <v>0</v>
      </c>
      <c r="BD83" s="30">
        <f>G84/(100-BE83)*100</f>
        <v>0</v>
      </c>
      <c r="BE83" s="30">
        <v>0</v>
      </c>
      <c r="BF83" s="30">
        <f>L84</f>
        <v>0</v>
      </c>
      <c r="BH83" s="14">
        <f>F84*AO83</f>
        <v>0</v>
      </c>
      <c r="BI83" s="14">
        <f>F84*AP83</f>
        <v>0</v>
      </c>
      <c r="BJ83" s="14">
        <f t="shared" si="220"/>
        <v>0</v>
      </c>
    </row>
    <row r="84" spans="1:62" ht="12.75">
      <c r="A84" s="65" t="s">
        <v>71</v>
      </c>
      <c r="B84" s="65" t="s">
        <v>78</v>
      </c>
      <c r="C84" s="65" t="s">
        <v>138</v>
      </c>
      <c r="D84" s="65" t="s">
        <v>217</v>
      </c>
      <c r="E84" s="65" t="s">
        <v>227</v>
      </c>
      <c r="F84" s="54">
        <v>1</v>
      </c>
      <c r="G84" s="123">
        <v>0</v>
      </c>
      <c r="H84" s="66">
        <f>F84*AO83</f>
        <v>0</v>
      </c>
      <c r="I84" s="66">
        <f>F84*AP83</f>
        <v>0</v>
      </c>
      <c r="J84" s="66">
        <f t="shared" si="221"/>
        <v>0</v>
      </c>
      <c r="K84" s="66">
        <v>0</v>
      </c>
      <c r="L84" s="66">
        <f t="shared" si="222"/>
        <v>0</v>
      </c>
      <c r="M84" s="67" t="s">
        <v>247</v>
      </c>
      <c r="Z84" s="30">
        <f t="shared" si="210"/>
        <v>0</v>
      </c>
      <c r="AB84" s="30">
        <f t="shared" si="211"/>
        <v>0</v>
      </c>
      <c r="AC84" s="30">
        <f t="shared" si="212"/>
        <v>0</v>
      </c>
      <c r="AD84" s="30">
        <f t="shared" si="213"/>
        <v>0</v>
      </c>
      <c r="AE84" s="30">
        <f t="shared" si="214"/>
        <v>0</v>
      </c>
      <c r="AF84" s="30">
        <f t="shared" si="215"/>
        <v>0</v>
      </c>
      <c r="AG84" s="30">
        <f t="shared" si="216"/>
        <v>0</v>
      </c>
      <c r="AH84" s="30">
        <f t="shared" si="217"/>
        <v>0</v>
      </c>
      <c r="AI84" s="22" t="s">
        <v>78</v>
      </c>
      <c r="AJ84" s="14">
        <f>IF(AN84=0,J85,0)</f>
        <v>0</v>
      </c>
      <c r="AK84" s="14">
        <f>IF(AN84=15,J85,0)</f>
        <v>0</v>
      </c>
      <c r="AL84" s="14">
        <f>IF(AN84=21,J85,0)</f>
        <v>0</v>
      </c>
      <c r="AN84" s="30">
        <v>21</v>
      </c>
      <c r="AO84" s="30">
        <f>G85*0</f>
        <v>0</v>
      </c>
      <c r="AP84" s="30">
        <f>G85*(1-0)</f>
        <v>0</v>
      </c>
      <c r="AQ84" s="25" t="s">
        <v>6</v>
      </c>
      <c r="AV84" s="30">
        <f t="shared" si="218"/>
        <v>0</v>
      </c>
      <c r="AW84" s="30">
        <f>F85*AO84</f>
        <v>0</v>
      </c>
      <c r="AX84" s="30">
        <f>F85*AP84</f>
        <v>0</v>
      </c>
      <c r="AY84" s="31" t="s">
        <v>268</v>
      </c>
      <c r="AZ84" s="31" t="s">
        <v>273</v>
      </c>
      <c r="BA84" s="22" t="s">
        <v>275</v>
      </c>
      <c r="BC84" s="30">
        <f t="shared" si="219"/>
        <v>0</v>
      </c>
      <c r="BD84" s="30">
        <f>G85/(100-BE84)*100</f>
        <v>0</v>
      </c>
      <c r="BE84" s="30">
        <v>0</v>
      </c>
      <c r="BF84" s="30">
        <f>L85</f>
        <v>0</v>
      </c>
      <c r="BH84" s="14">
        <f>F85*AO84</f>
        <v>0</v>
      </c>
      <c r="BI84" s="14">
        <f>F85*AP84</f>
        <v>0</v>
      </c>
      <c r="BJ84" s="14">
        <f t="shared" si="220"/>
        <v>0</v>
      </c>
    </row>
    <row r="85" spans="1:62" ht="12.75">
      <c r="A85" s="4" t="s">
        <v>72</v>
      </c>
      <c r="B85" s="4" t="s">
        <v>78</v>
      </c>
      <c r="C85" s="4" t="s">
        <v>139</v>
      </c>
      <c r="D85" s="65" t="s">
        <v>218</v>
      </c>
      <c r="E85" s="4" t="s">
        <v>227</v>
      </c>
      <c r="F85" s="54">
        <v>1</v>
      </c>
      <c r="G85" s="123">
        <v>0</v>
      </c>
      <c r="H85" s="14">
        <f>F85*AO84</f>
        <v>0</v>
      </c>
      <c r="I85" s="14">
        <f>F85*AP84</f>
        <v>0</v>
      </c>
      <c r="J85" s="14">
        <f t="shared" si="221"/>
        <v>0</v>
      </c>
      <c r="K85" s="14">
        <v>0</v>
      </c>
      <c r="L85" s="14">
        <f t="shared" si="222"/>
        <v>0</v>
      </c>
      <c r="M85" s="25" t="s">
        <v>247</v>
      </c>
      <c r="Z85" s="30">
        <f t="shared" si="210"/>
        <v>0</v>
      </c>
      <c r="AB85" s="30">
        <f t="shared" si="211"/>
        <v>0</v>
      </c>
      <c r="AC85" s="30">
        <f t="shared" si="212"/>
        <v>0</v>
      </c>
      <c r="AD85" s="30">
        <f t="shared" si="213"/>
        <v>0</v>
      </c>
      <c r="AE85" s="30">
        <f t="shared" si="214"/>
        <v>0</v>
      </c>
      <c r="AF85" s="30">
        <f t="shared" si="215"/>
        <v>0</v>
      </c>
      <c r="AG85" s="30">
        <f t="shared" si="216"/>
        <v>0</v>
      </c>
      <c r="AH85" s="30">
        <f t="shared" si="217"/>
        <v>0</v>
      </c>
      <c r="AI85" s="22" t="s">
        <v>78</v>
      </c>
      <c r="AJ85" s="14">
        <f>IF(AN85=0,J86,0)</f>
        <v>0</v>
      </c>
      <c r="AK85" s="14">
        <f>IF(AN85=15,J86,0)</f>
        <v>0</v>
      </c>
      <c r="AL85" s="14">
        <f>IF(AN85=21,J86,0)</f>
        <v>0</v>
      </c>
      <c r="AN85" s="30">
        <v>21</v>
      </c>
      <c r="AO85" s="30">
        <f>G86*0</f>
        <v>0</v>
      </c>
      <c r="AP85" s="30">
        <f>G86*(1-0)</f>
        <v>0</v>
      </c>
      <c r="AQ85" s="25" t="s">
        <v>6</v>
      </c>
      <c r="AV85" s="30">
        <f t="shared" si="218"/>
        <v>0</v>
      </c>
      <c r="AW85" s="30">
        <f>F86*AO85</f>
        <v>0</v>
      </c>
      <c r="AX85" s="30">
        <f>F86*AP85</f>
        <v>0</v>
      </c>
      <c r="AY85" s="31" t="s">
        <v>268</v>
      </c>
      <c r="AZ85" s="31" t="s">
        <v>273</v>
      </c>
      <c r="BA85" s="22" t="s">
        <v>275</v>
      </c>
      <c r="BC85" s="30">
        <f t="shared" si="219"/>
        <v>0</v>
      </c>
      <c r="BD85" s="30">
        <f>G86/(100-BE85)*100</f>
        <v>0</v>
      </c>
      <c r="BE85" s="30">
        <v>0</v>
      </c>
      <c r="BF85" s="30">
        <f>L86</f>
        <v>0</v>
      </c>
      <c r="BH85" s="14">
        <f>F86*AO85</f>
        <v>0</v>
      </c>
      <c r="BI85" s="14">
        <f>F86*AP85</f>
        <v>0</v>
      </c>
      <c r="BJ85" s="14">
        <f t="shared" si="220"/>
        <v>0</v>
      </c>
    </row>
    <row r="86" spans="1:62" ht="12.75">
      <c r="A86" s="4" t="s">
        <v>73</v>
      </c>
      <c r="B86" s="4" t="s">
        <v>78</v>
      </c>
      <c r="C86" s="4" t="s">
        <v>140</v>
      </c>
      <c r="D86" s="65" t="s">
        <v>219</v>
      </c>
      <c r="E86" s="4" t="s">
        <v>227</v>
      </c>
      <c r="F86" s="54">
        <v>1</v>
      </c>
      <c r="G86" s="123">
        <v>0</v>
      </c>
      <c r="H86" s="14">
        <f>F86*AO85</f>
        <v>0</v>
      </c>
      <c r="I86" s="14">
        <f>F86*AP85</f>
        <v>0</v>
      </c>
      <c r="J86" s="14">
        <f t="shared" si="221"/>
        <v>0</v>
      </c>
      <c r="K86" s="14">
        <v>0</v>
      </c>
      <c r="L86" s="14">
        <f t="shared" si="222"/>
        <v>0</v>
      </c>
      <c r="M86" s="25" t="s">
        <v>247</v>
      </c>
      <c r="Z86" s="30">
        <f t="shared" si="210"/>
        <v>0</v>
      </c>
      <c r="AB86" s="30">
        <f t="shared" si="211"/>
        <v>0</v>
      </c>
      <c r="AC86" s="30">
        <f t="shared" si="212"/>
        <v>0</v>
      </c>
      <c r="AD86" s="30">
        <f t="shared" si="213"/>
        <v>0</v>
      </c>
      <c r="AE86" s="30">
        <f t="shared" si="214"/>
        <v>0</v>
      </c>
      <c r="AF86" s="30">
        <f t="shared" si="215"/>
        <v>0</v>
      </c>
      <c r="AG86" s="30">
        <f t="shared" si="216"/>
        <v>0</v>
      </c>
      <c r="AH86" s="30">
        <f t="shared" si="217"/>
        <v>0</v>
      </c>
      <c r="AI86" s="22" t="s">
        <v>78</v>
      </c>
      <c r="AJ86" s="14">
        <f>IF(AN86=0,J87,0)</f>
        <v>0</v>
      </c>
      <c r="AK86" s="14">
        <f>IF(AN86=15,J87,0)</f>
        <v>0</v>
      </c>
      <c r="AL86" s="14">
        <f>IF(AN86=21,J87,0)</f>
        <v>0</v>
      </c>
      <c r="AN86" s="30">
        <v>21</v>
      </c>
      <c r="AO86" s="30">
        <f>G87*0</f>
        <v>0</v>
      </c>
      <c r="AP86" s="30">
        <f>G87*(1-0)</f>
        <v>0</v>
      </c>
      <c r="AQ86" s="25" t="s">
        <v>6</v>
      </c>
      <c r="AV86" s="30">
        <f t="shared" si="218"/>
        <v>0</v>
      </c>
      <c r="AW86" s="30">
        <f>F87*AO86</f>
        <v>0</v>
      </c>
      <c r="AX86" s="30">
        <f>F87*AP86</f>
        <v>0</v>
      </c>
      <c r="AY86" s="31" t="s">
        <v>268</v>
      </c>
      <c r="AZ86" s="31" t="s">
        <v>273</v>
      </c>
      <c r="BA86" s="22" t="s">
        <v>275</v>
      </c>
      <c r="BC86" s="30">
        <f t="shared" si="219"/>
        <v>0</v>
      </c>
      <c r="BD86" s="30">
        <f>G87/(100-BE86)*100</f>
        <v>0</v>
      </c>
      <c r="BE86" s="30">
        <v>0</v>
      </c>
      <c r="BF86" s="30">
        <f>L87</f>
        <v>0</v>
      </c>
      <c r="BH86" s="14">
        <f>F87*AO86</f>
        <v>0</v>
      </c>
      <c r="BI86" s="14">
        <f>F87*AP86</f>
        <v>0</v>
      </c>
      <c r="BJ86" s="14">
        <f t="shared" si="220"/>
        <v>0</v>
      </c>
    </row>
    <row r="87" spans="1:13" ht="12.75">
      <c r="A87" s="6" t="s">
        <v>74</v>
      </c>
      <c r="B87" s="6" t="s">
        <v>78</v>
      </c>
      <c r="C87" s="6" t="s">
        <v>141</v>
      </c>
      <c r="D87" s="92" t="s">
        <v>333</v>
      </c>
      <c r="E87" s="6" t="s">
        <v>227</v>
      </c>
      <c r="F87" s="104">
        <v>1</v>
      </c>
      <c r="G87" s="125">
        <v>0</v>
      </c>
      <c r="H87" s="16">
        <f>F87*AO86</f>
        <v>0</v>
      </c>
      <c r="I87" s="16">
        <f>F87*AP86</f>
        <v>0</v>
      </c>
      <c r="J87" s="16">
        <f t="shared" si="221"/>
        <v>0</v>
      </c>
      <c r="K87" s="16">
        <v>0</v>
      </c>
      <c r="L87" s="16">
        <f t="shared" si="222"/>
        <v>0</v>
      </c>
      <c r="M87" s="27" t="s">
        <v>247</v>
      </c>
    </row>
    <row r="88" spans="1:13" ht="11.25" customHeight="1">
      <c r="A88" s="7"/>
      <c r="B88" s="7"/>
      <c r="C88" s="7"/>
      <c r="D88" s="7"/>
      <c r="E88" s="7"/>
      <c r="F88" s="7"/>
      <c r="G88" s="7"/>
      <c r="H88" s="182" t="s">
        <v>239</v>
      </c>
      <c r="I88" s="171"/>
      <c r="J88" s="33">
        <f>J78+J12</f>
        <v>0</v>
      </c>
      <c r="K88" s="7"/>
      <c r="L88" s="7"/>
      <c r="M88" s="7"/>
    </row>
    <row r="89" ht="12.75">
      <c r="A89" s="8" t="s">
        <v>75</v>
      </c>
    </row>
    <row r="90" spans="1:13" ht="12.75">
      <c r="A90" s="139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</row>
  </sheetData>
  <sheetProtection algorithmName="SHA-512" hashValue="fKJ07WQvxj7W5W1Hz0wF7awssz/rE+NwJZBy1jIoOonJtfn9mkk3Bh0RdzD8sY2d3RExyAdBq3WAAgZdntPLBw==" saltValue="IABtVdc0HHcAubG/MgPQOg==" spinCount="100000" sheet="1" objects="1" scenarios="1"/>
  <mergeCells count="29">
    <mergeCell ref="A1:M1"/>
    <mergeCell ref="A2:C3"/>
    <mergeCell ref="D2:D3"/>
    <mergeCell ref="E2:F3"/>
    <mergeCell ref="G2:G3"/>
    <mergeCell ref="H2:H3"/>
    <mergeCell ref="I2:M3"/>
    <mergeCell ref="I6:M7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H10:J10"/>
    <mergeCell ref="K10:L10"/>
    <mergeCell ref="H88:I88"/>
    <mergeCell ref="A90:M90"/>
    <mergeCell ref="A8:C9"/>
    <mergeCell ref="D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Hefner</dc:creator>
  <cp:keywords/>
  <dc:description/>
  <cp:lastModifiedBy>Simona Beňová</cp:lastModifiedBy>
  <dcterms:created xsi:type="dcterms:W3CDTF">2020-02-29T20:10:19Z</dcterms:created>
  <dcterms:modified xsi:type="dcterms:W3CDTF">2020-09-09T14:55:51Z</dcterms:modified>
  <cp:category/>
  <cp:version/>
  <cp:contentType/>
  <cp:contentStatus/>
</cp:coreProperties>
</file>